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thpointreg.sharepoint.com/sites/AllTeam/Shared Documents/! Properties/Manhattan/Midtown/343 West 47th Street/Financials/"/>
    </mc:Choice>
  </mc:AlternateContent>
  <xr:revisionPtr revIDLastSave="0" documentId="8_{1907EDBF-14F4-471E-99E6-567EB6393CB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Title" sheetId="9" r:id="rId1"/>
    <sheet name="SOV " sheetId="7" r:id="rId2"/>
    <sheet name="Scope of Work " sheetId="6" r:id="rId3"/>
  </sheets>
  <externalReferences>
    <externalReference r:id="rId4"/>
  </externalReferences>
  <definedNames>
    <definedName name="amount">[1]RFELINK!#REF!</definedName>
    <definedName name="conum">[1]RFELINK!#REF!</definedName>
    <definedName name="datetyped">[1]RFELINK!#REF!</definedName>
    <definedName name="Expeditor">[1]RFELINK!#REF!</definedName>
    <definedName name="location">[1]RFELINK!#REF!</definedName>
    <definedName name="NAME">'[1]TYP. Estimate'!#REF!</definedName>
    <definedName name="_xlnm.Print_Area" localSheetId="2">'Scope of Work '!$A$1:$H$501</definedName>
    <definedName name="_xlnm.Print_Area" localSheetId="1">'SOV '!$A$1:$C$45</definedName>
    <definedName name="_xlnm.Print_Area" localSheetId="0">Title!$A$3:$G$55</definedName>
    <definedName name="rentablesf">[1]RFELINK!#REF!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6" l="1"/>
  <c r="D64" i="6"/>
  <c r="D63" i="6"/>
  <c r="D320" i="6"/>
  <c r="D96" i="6"/>
  <c r="D94" i="6"/>
  <c r="E28" i="9"/>
  <c r="H12" i="6"/>
  <c r="B7" i="7" l="1"/>
  <c r="F188" i="6"/>
  <c r="F222" i="6"/>
  <c r="F223" i="6"/>
  <c r="F224" i="6"/>
  <c r="F225" i="6"/>
  <c r="F226" i="6"/>
  <c r="F227" i="6"/>
  <c r="F221" i="6"/>
  <c r="F240" i="6"/>
  <c r="F167" i="6"/>
  <c r="F46" i="6"/>
  <c r="G46" i="6" s="1"/>
  <c r="F118" i="6"/>
  <c r="F117" i="6"/>
  <c r="F104" i="6"/>
  <c r="F105" i="6"/>
  <c r="F106" i="6"/>
  <c r="F107" i="6"/>
  <c r="F108" i="6"/>
  <c r="F109" i="6"/>
  <c r="F110" i="6"/>
  <c r="F103" i="6"/>
  <c r="F96" i="6"/>
  <c r="F94" i="6"/>
  <c r="F86" i="6"/>
  <c r="D103" i="6"/>
  <c r="D105" i="6" s="1"/>
  <c r="F77" i="6"/>
  <c r="G77" i="6" s="1"/>
  <c r="F78" i="6"/>
  <c r="G78" i="6" s="1"/>
  <c r="F79" i="6"/>
  <c r="G79" i="6" s="1"/>
  <c r="F76" i="6"/>
  <c r="G76" i="6" s="1"/>
  <c r="F75" i="6"/>
  <c r="G75" i="6" s="1"/>
  <c r="F69" i="6"/>
  <c r="F70" i="6"/>
  <c r="F71" i="6"/>
  <c r="F72" i="6"/>
  <c r="F73" i="6"/>
  <c r="F68" i="6"/>
  <c r="F64" i="6"/>
  <c r="F65" i="6"/>
  <c r="F63" i="6"/>
  <c r="F54" i="6"/>
  <c r="F55" i="6"/>
  <c r="F56" i="6"/>
  <c r="F57" i="6"/>
  <c r="F58" i="6"/>
  <c r="F59" i="6"/>
  <c r="F60" i="6"/>
  <c r="F53" i="6"/>
  <c r="F51" i="6"/>
  <c r="F49" i="6"/>
  <c r="F19" i="6"/>
  <c r="F20" i="6"/>
  <c r="F21" i="6"/>
  <c r="F23" i="6"/>
  <c r="F24" i="6"/>
  <c r="F25" i="6"/>
  <c r="F320" i="6"/>
  <c r="G50" i="6"/>
  <c r="G52" i="6"/>
  <c r="G61" i="6"/>
  <c r="G62" i="6"/>
  <c r="G66" i="6"/>
  <c r="G67" i="6"/>
  <c r="F483" i="6"/>
  <c r="G483" i="6" s="1"/>
  <c r="H494" i="6" s="1"/>
  <c r="F428" i="6" l="1"/>
  <c r="F429" i="6"/>
  <c r="F430" i="6"/>
  <c r="F431" i="6"/>
  <c r="F432" i="6"/>
  <c r="F417" i="6"/>
  <c r="F418" i="6"/>
  <c r="F419" i="6"/>
  <c r="F420" i="6"/>
  <c r="F421" i="6"/>
  <c r="F423" i="6"/>
  <c r="F424" i="6"/>
  <c r="F425" i="6"/>
  <c r="F426" i="6"/>
  <c r="F416" i="6"/>
  <c r="F414" i="6"/>
  <c r="F400" i="6"/>
  <c r="F401" i="6"/>
  <c r="F402" i="6"/>
  <c r="F403" i="6"/>
  <c r="F404" i="6"/>
  <c r="F405" i="6"/>
  <c r="F407" i="6"/>
  <c r="F408" i="6"/>
  <c r="F409" i="6"/>
  <c r="F410" i="6"/>
  <c r="F399" i="6"/>
  <c r="F385" i="6"/>
  <c r="G385" i="6" s="1"/>
  <c r="F386" i="6"/>
  <c r="G386" i="6" s="1"/>
  <c r="F388" i="6"/>
  <c r="G388" i="6" s="1"/>
  <c r="F389" i="6"/>
  <c r="G389" i="6" s="1"/>
  <c r="F390" i="6"/>
  <c r="G390" i="6" s="1"/>
  <c r="F391" i="6"/>
  <c r="G391" i="6" s="1"/>
  <c r="F392" i="6"/>
  <c r="G392" i="6" s="1"/>
  <c r="F384" i="6"/>
  <c r="G384" i="6" s="1"/>
  <c r="F383" i="6"/>
  <c r="G383" i="6" s="1"/>
  <c r="F345" i="6"/>
  <c r="G345" i="6" s="1"/>
  <c r="F346" i="6"/>
  <c r="G346" i="6" s="1"/>
  <c r="F343" i="6"/>
  <c r="G343" i="6" s="1"/>
  <c r="F342" i="6"/>
  <c r="G342" i="6" s="1"/>
  <c r="F341" i="6"/>
  <c r="G341" i="6" s="1"/>
  <c r="F323" i="6"/>
  <c r="G323" i="6" s="1"/>
  <c r="F324" i="6"/>
  <c r="G324" i="6" s="1"/>
  <c r="F325" i="6"/>
  <c r="G325" i="6" s="1"/>
  <c r="F326" i="6"/>
  <c r="G326" i="6" s="1"/>
  <c r="F327" i="6"/>
  <c r="G327" i="6" s="1"/>
  <c r="F328" i="6"/>
  <c r="G328" i="6" s="1"/>
  <c r="F329" i="6"/>
  <c r="G329" i="6" s="1"/>
  <c r="G330" i="6"/>
  <c r="F331" i="6"/>
  <c r="G331" i="6" s="1"/>
  <c r="F322" i="6"/>
  <c r="G322" i="6" s="1"/>
  <c r="F321" i="6"/>
  <c r="G321" i="6" s="1"/>
  <c r="F313" i="6"/>
  <c r="G313" i="6" s="1"/>
  <c r="F312" i="6"/>
  <c r="G312" i="6" s="1"/>
  <c r="F305" i="6"/>
  <c r="G305" i="6" s="1"/>
  <c r="F306" i="6"/>
  <c r="G306" i="6" s="1"/>
  <c r="F299" i="6"/>
  <c r="G299" i="6" s="1"/>
  <c r="F304" i="6"/>
  <c r="G304" i="6" s="1"/>
  <c r="F303" i="6"/>
  <c r="G303" i="6" s="1"/>
  <c r="F302" i="6"/>
  <c r="G302" i="6" s="1"/>
  <c r="F301" i="6"/>
  <c r="G301" i="6" s="1"/>
  <c r="F300" i="6"/>
  <c r="G300" i="6" s="1"/>
  <c r="F293" i="6"/>
  <c r="G293" i="6" s="1"/>
  <c r="F292" i="6"/>
  <c r="G292" i="6" s="1"/>
  <c r="F291" i="6"/>
  <c r="G291" i="6" s="1"/>
  <c r="F290" i="6"/>
  <c r="G290" i="6" s="1"/>
  <c r="F289" i="6"/>
  <c r="G289" i="6" s="1"/>
  <c r="F274" i="6"/>
  <c r="G274" i="6" s="1"/>
  <c r="F275" i="6"/>
  <c r="G275" i="6" s="1"/>
  <c r="F276" i="6"/>
  <c r="G276" i="6" s="1"/>
  <c r="F277" i="6"/>
  <c r="G277" i="6" s="1"/>
  <c r="F278" i="6"/>
  <c r="G278" i="6" s="1"/>
  <c r="F279" i="6"/>
  <c r="G279" i="6" s="1"/>
  <c r="F280" i="6"/>
  <c r="G280" i="6" s="1"/>
  <c r="F281" i="6"/>
  <c r="G281" i="6" s="1"/>
  <c r="F273" i="6"/>
  <c r="G273" i="6" s="1"/>
  <c r="F266" i="6"/>
  <c r="G266" i="6" s="1"/>
  <c r="F258" i="6"/>
  <c r="G258" i="6" s="1"/>
  <c r="F257" i="6"/>
  <c r="G257" i="6" s="1"/>
  <c r="F256" i="6"/>
  <c r="G256" i="6" s="1"/>
  <c r="F250" i="6"/>
  <c r="G250" i="6" s="1"/>
  <c r="F249" i="6"/>
  <c r="G249" i="6" s="1"/>
  <c r="F241" i="6"/>
  <c r="F242" i="6"/>
  <c r="F243" i="6"/>
  <c r="F234" i="6"/>
  <c r="G234" i="6" s="1"/>
  <c r="F211" i="6"/>
  <c r="G211" i="6" s="1"/>
  <c r="F212" i="6"/>
  <c r="G212" i="6" s="1"/>
  <c r="F213" i="6"/>
  <c r="G213" i="6" s="1"/>
  <c r="F214" i="6"/>
  <c r="G214" i="6" s="1"/>
  <c r="F210" i="6"/>
  <c r="G210" i="6" s="1"/>
  <c r="F208" i="6"/>
  <c r="F203" i="6"/>
  <c r="F199" i="6"/>
  <c r="G188" i="6"/>
  <c r="F191" i="6"/>
  <c r="G191" i="6" s="1"/>
  <c r="F192" i="6"/>
  <c r="F193" i="6"/>
  <c r="G193" i="6" s="1"/>
  <c r="F194" i="6"/>
  <c r="G194" i="6" s="1"/>
  <c r="F170" i="6"/>
  <c r="G170" i="6" s="1"/>
  <c r="F171" i="6"/>
  <c r="F172" i="6"/>
  <c r="G172" i="6" s="1"/>
  <c r="F173" i="6"/>
  <c r="G173" i="6" s="1"/>
  <c r="F174" i="6"/>
  <c r="F175" i="6"/>
  <c r="G175" i="6" s="1"/>
  <c r="F176" i="6"/>
  <c r="G176" i="6" s="1"/>
  <c r="F177" i="6"/>
  <c r="G177" i="6" s="1"/>
  <c r="F178" i="6"/>
  <c r="G178" i="6" s="1"/>
  <c r="F179" i="6"/>
  <c r="G179" i="6" s="1"/>
  <c r="F169" i="6"/>
  <c r="G169" i="6" s="1"/>
  <c r="G167" i="6"/>
  <c r="F152" i="6"/>
  <c r="F153" i="6"/>
  <c r="F154" i="6"/>
  <c r="F155" i="6"/>
  <c r="F156" i="6"/>
  <c r="F158" i="6"/>
  <c r="G158" i="6" s="1"/>
  <c r="F159" i="6"/>
  <c r="G159" i="6" s="1"/>
  <c r="F160" i="6"/>
  <c r="F151" i="6"/>
  <c r="G151" i="6" s="1"/>
  <c r="F150" i="6"/>
  <c r="G150" i="6" s="1"/>
  <c r="G149" i="6"/>
  <c r="F141" i="6"/>
  <c r="F140" i="6"/>
  <c r="G140" i="6" s="1"/>
  <c r="F139" i="6"/>
  <c r="G139" i="6" s="1"/>
  <c r="F137" i="6"/>
  <c r="G137" i="6" s="1"/>
  <c r="F136" i="6"/>
  <c r="G136" i="6" s="1"/>
  <c r="F126" i="6"/>
  <c r="G126" i="6" s="1"/>
  <c r="F125" i="6"/>
  <c r="G125" i="6" s="1"/>
  <c r="G118" i="6"/>
  <c r="G104" i="6"/>
  <c r="G106" i="6"/>
  <c r="G107" i="6"/>
  <c r="G108" i="6"/>
  <c r="G109" i="6"/>
  <c r="G110" i="6"/>
  <c r="G96" i="6"/>
  <c r="G86" i="6"/>
  <c r="G72" i="6"/>
  <c r="G73" i="6"/>
  <c r="G70" i="6"/>
  <c r="G68" i="6"/>
  <c r="G58" i="6"/>
  <c r="G59" i="6"/>
  <c r="G49" i="6"/>
  <c r="G47" i="6"/>
  <c r="G35" i="6"/>
  <c r="G36" i="6"/>
  <c r="G37" i="6"/>
  <c r="G40" i="6"/>
  <c r="G34" i="6"/>
  <c r="G19" i="6"/>
  <c r="G20" i="6"/>
  <c r="G21" i="6"/>
  <c r="G23" i="6"/>
  <c r="G25" i="6"/>
  <c r="E18" i="6"/>
  <c r="E16" i="6"/>
  <c r="F16" i="6" s="1"/>
  <c r="G16" i="6" l="1"/>
  <c r="F18" i="6"/>
  <c r="G18" i="6" s="1"/>
  <c r="B13" i="7"/>
  <c r="A13" i="7"/>
  <c r="D60" i="6"/>
  <c r="G60" i="6" s="1"/>
  <c r="E22" i="6"/>
  <c r="D24" i="6"/>
  <c r="G24" i="6" s="1"/>
  <c r="E452" i="6"/>
  <c r="F452" i="6" s="1"/>
  <c r="G452" i="6" s="1"/>
  <c r="E476" i="6"/>
  <c r="E475" i="6"/>
  <c r="E474" i="6"/>
  <c r="F22" i="6" l="1"/>
  <c r="G22" i="6" s="1"/>
  <c r="F474" i="6"/>
  <c r="G474" i="6" s="1"/>
  <c r="F475" i="6"/>
  <c r="G475" i="6" s="1"/>
  <c r="F476" i="6"/>
  <c r="G476" i="6" s="1"/>
  <c r="H90" i="6" l="1"/>
  <c r="C13" i="7" s="1"/>
  <c r="E340" i="6"/>
  <c r="G340" i="6" s="1"/>
  <c r="D38" i="6"/>
  <c r="G38" i="6" s="1"/>
  <c r="A29" i="7" l="1"/>
  <c r="A28" i="7"/>
  <c r="B29" i="7"/>
  <c r="B28" i="7"/>
  <c r="H260" i="6" l="1"/>
  <c r="C28" i="7" s="1"/>
  <c r="B11" i="7"/>
  <c r="E397" i="6"/>
  <c r="F397" i="6" s="1"/>
  <c r="G397" i="6" s="1"/>
  <c r="G320" i="6"/>
  <c r="D243" i="6"/>
  <c r="G243" i="6" s="1"/>
  <c r="E189" i="6"/>
  <c r="F189" i="6" s="1"/>
  <c r="D160" i="6"/>
  <c r="G160" i="6" s="1"/>
  <c r="D192" i="6"/>
  <c r="G192" i="6" s="1"/>
  <c r="E187" i="6"/>
  <c r="F187" i="6" s="1"/>
  <c r="D141" i="6"/>
  <c r="G141" i="6" s="1"/>
  <c r="D156" i="6"/>
  <c r="G156" i="6" s="1"/>
  <c r="D155" i="6"/>
  <c r="G155" i="6" s="1"/>
  <c r="D154" i="6"/>
  <c r="G154" i="6" s="1"/>
  <c r="D153" i="6"/>
  <c r="G153" i="6" s="1"/>
  <c r="D152" i="6"/>
  <c r="G152" i="6" s="1"/>
  <c r="G105" i="6"/>
  <c r="G103" i="6"/>
  <c r="D208" i="6"/>
  <c r="G208" i="6" s="1"/>
  <c r="D227" i="6"/>
  <c r="G227" i="6" s="1"/>
  <c r="D226" i="6"/>
  <c r="G226" i="6" s="1"/>
  <c r="D224" i="6"/>
  <c r="G224" i="6" s="1"/>
  <c r="D223" i="6"/>
  <c r="G223" i="6" s="1"/>
  <c r="D222" i="6"/>
  <c r="G222" i="6" s="1"/>
  <c r="D221" i="6"/>
  <c r="G221" i="6" s="1"/>
  <c r="D199" i="6"/>
  <c r="G199" i="6" s="1"/>
  <c r="D203" i="6"/>
  <c r="G203" i="6" s="1"/>
  <c r="D174" i="6"/>
  <c r="G174" i="6" s="1"/>
  <c r="D171" i="6"/>
  <c r="G171" i="6" s="1"/>
  <c r="G189" i="6" l="1"/>
  <c r="G187" i="6"/>
  <c r="B43" i="7" l="1"/>
  <c r="E453" i="6"/>
  <c r="F453" i="6" s="1"/>
  <c r="G453" i="6" s="1"/>
  <c r="D242" i="6"/>
  <c r="G242" i="6" s="1"/>
  <c r="D241" i="6"/>
  <c r="G241" i="6" s="1"/>
  <c r="D240" i="6"/>
  <c r="G240" i="6" s="1"/>
  <c r="G117" i="6"/>
  <c r="G94" i="6"/>
  <c r="G64" i="6"/>
  <c r="G97" i="6"/>
  <c r="D71" i="6"/>
  <c r="G71" i="6" s="1"/>
  <c r="D69" i="6"/>
  <c r="G69" i="6" s="1"/>
  <c r="G65" i="6"/>
  <c r="G63" i="6"/>
  <c r="D57" i="6"/>
  <c r="G57" i="6" s="1"/>
  <c r="D55" i="6"/>
  <c r="G55" i="6" s="1"/>
  <c r="D54" i="6"/>
  <c r="G54" i="6" s="1"/>
  <c r="D56" i="6"/>
  <c r="G56" i="6" s="1"/>
  <c r="D53" i="6"/>
  <c r="G53" i="6" s="1"/>
  <c r="D48" i="6"/>
  <c r="G48" i="6" s="1"/>
  <c r="D51" i="6"/>
  <c r="G51" i="6" s="1"/>
  <c r="A11" i="7"/>
  <c r="E17" i="6"/>
  <c r="F17" i="6" s="1"/>
  <c r="D39" i="6"/>
  <c r="G39" i="6" s="1"/>
  <c r="G17" i="6" l="1"/>
  <c r="B24" i="7"/>
  <c r="A24" i="7"/>
  <c r="H29" i="6" l="1"/>
  <c r="C10" i="7" s="1"/>
  <c r="B5" i="7"/>
  <c r="B4" i="7"/>
  <c r="A8" i="7"/>
  <c r="B8" i="7"/>
  <c r="A10" i="7"/>
  <c r="B10" i="7"/>
  <c r="A12" i="7"/>
  <c r="B12" i="7"/>
  <c r="B3" i="7"/>
  <c r="B2" i="7"/>
  <c r="B1" i="7"/>
  <c r="H236" i="6"/>
  <c r="C24" i="7" s="1"/>
  <c r="H144" i="6" l="1"/>
  <c r="H195" i="6"/>
  <c r="H99" i="6"/>
  <c r="H162" i="6" l="1"/>
  <c r="E46" i="6"/>
  <c r="G405" i="6"/>
  <c r="G404" i="6"/>
  <c r="E411" i="6"/>
  <c r="F411" i="6" s="1"/>
  <c r="G423" i="6" l="1"/>
  <c r="G424" i="6"/>
  <c r="G425" i="6"/>
  <c r="G426" i="6"/>
  <c r="G415" i="6"/>
  <c r="G416" i="6"/>
  <c r="G417" i="6"/>
  <c r="G418" i="6"/>
  <c r="G419" i="6"/>
  <c r="G420" i="6"/>
  <c r="G421" i="6"/>
  <c r="H307" i="6" l="1"/>
  <c r="H284" i="6"/>
  <c r="B17" i="7"/>
  <c r="A17" i="7"/>
  <c r="G429" i="6" l="1"/>
  <c r="G410" i="6"/>
  <c r="G407" i="6"/>
  <c r="G408" i="6"/>
  <c r="G409" i="6"/>
  <c r="G411" i="6"/>
  <c r="G403" i="6"/>
  <c r="H111" i="6" l="1"/>
  <c r="H130" i="6"/>
  <c r="C17" i="7" s="1"/>
  <c r="G399" i="6" l="1"/>
  <c r="G400" i="6"/>
  <c r="G401" i="6"/>
  <c r="G402" i="6"/>
  <c r="G430" i="6" l="1"/>
  <c r="G431" i="6"/>
  <c r="G432" i="6"/>
  <c r="G414" i="6"/>
  <c r="H496" i="6" s="1"/>
  <c r="G428" i="6"/>
  <c r="H181" i="6"/>
  <c r="H498" i="6" l="1"/>
  <c r="H497" i="6"/>
  <c r="H447" i="6"/>
  <c r="H295" i="6"/>
  <c r="B39" i="7" l="1"/>
  <c r="A39" i="7"/>
  <c r="B36" i="7"/>
  <c r="A36" i="7"/>
  <c r="B33" i="7"/>
  <c r="A33" i="7"/>
  <c r="B32" i="7"/>
  <c r="A32" i="7"/>
  <c r="B31" i="7"/>
  <c r="A31" i="7"/>
  <c r="B30" i="7"/>
  <c r="A30" i="7"/>
  <c r="A27" i="7"/>
  <c r="B26" i="7"/>
  <c r="A26" i="7"/>
  <c r="B25" i="7"/>
  <c r="A25" i="7"/>
  <c r="B23" i="7"/>
  <c r="A23" i="7"/>
  <c r="B21" i="7"/>
  <c r="A21" i="7"/>
  <c r="B19" i="7"/>
  <c r="A19" i="7"/>
  <c r="C18" i="7"/>
  <c r="H478" i="6" l="1"/>
  <c r="H377" i="6"/>
  <c r="H336" i="6" l="1"/>
  <c r="H393" i="6"/>
  <c r="C30" i="7"/>
  <c r="H244" i="6" l="1"/>
  <c r="C25" i="7" s="1"/>
  <c r="C39" i="7"/>
  <c r="C31" i="7"/>
  <c r="B11" i="6" l="1"/>
  <c r="D7" i="6"/>
  <c r="D8" i="6"/>
  <c r="D9" i="6"/>
  <c r="D10" i="6"/>
  <c r="D6" i="6"/>
  <c r="A11" i="6"/>
  <c r="B8" i="6"/>
  <c r="B6" i="6"/>
  <c r="A7" i="6"/>
  <c r="A8" i="6"/>
  <c r="A9" i="6"/>
  <c r="A6" i="6"/>
  <c r="B3" i="6"/>
  <c r="B4" i="6"/>
  <c r="B2" i="6"/>
  <c r="H315" i="6" l="1"/>
  <c r="F4" i="9"/>
  <c r="B44" i="7" l="1"/>
  <c r="B42" i="7"/>
  <c r="H42" i="6" l="1"/>
  <c r="C11" i="7" s="1"/>
  <c r="B27" i="7"/>
  <c r="B38" i="7"/>
  <c r="B37" i="7"/>
  <c r="B35" i="7"/>
  <c r="B34" i="7"/>
  <c r="A34" i="7"/>
  <c r="B22" i="7"/>
  <c r="A38" i="7"/>
  <c r="B14" i="7"/>
  <c r="B15" i="7"/>
  <c r="B16" i="7"/>
  <c r="B18" i="7"/>
  <c r="B20" i="7"/>
  <c r="A37" i="7"/>
  <c r="A35" i="7"/>
  <c r="A22" i="7"/>
  <c r="A20" i="7"/>
  <c r="A18" i="7"/>
  <c r="A16" i="7"/>
  <c r="A15" i="7"/>
  <c r="A14" i="7"/>
  <c r="H216" i="6"/>
  <c r="C19" i="7"/>
  <c r="H81" i="6" l="1"/>
  <c r="C12" i="7" s="1"/>
  <c r="C32" i="7"/>
  <c r="C38" i="7"/>
  <c r="C33" i="7"/>
  <c r="C36" i="7"/>
  <c r="C21" i="7"/>
  <c r="C22" i="7"/>
  <c r="H229" i="6"/>
  <c r="C23" i="7" s="1"/>
  <c r="C35" i="7"/>
  <c r="C20" i="7"/>
  <c r="H251" i="6"/>
  <c r="C26" i="7" s="1"/>
  <c r="C37" i="7"/>
  <c r="H269" i="6"/>
  <c r="C29" i="7" s="1"/>
  <c r="C34" i="7"/>
  <c r="C14" i="7"/>
  <c r="C15" i="7"/>
  <c r="H120" i="6" l="1"/>
  <c r="C16" i="7" s="1"/>
  <c r="C42" i="7" l="1"/>
  <c r="H499" i="6"/>
  <c r="H500" i="6" s="1"/>
  <c r="C41" i="7"/>
  <c r="C43" i="7" s="1"/>
  <c r="C44" i="7" l="1"/>
  <c r="C45" i="7" l="1"/>
  <c r="F3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Marcus Bannister</author>
  </authors>
  <commentList>
    <comment ref="C45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Item Name: LF-02- Internal Recess downlights - Elevator lobby corridor
Property: Point Count</t>
        </r>
      </text>
    </comment>
  </commentList>
</comments>
</file>

<file path=xl/sharedStrings.xml><?xml version="1.0" encoding="utf-8"?>
<sst xmlns="http://schemas.openxmlformats.org/spreadsheetml/2006/main" count="1020" uniqueCount="434">
  <si>
    <t xml:space="preserve"> </t>
  </si>
  <si>
    <t>DATE:</t>
  </si>
  <si>
    <t>Airitan Management</t>
  </si>
  <si>
    <t xml:space="preserve">Est. # </t>
  </si>
  <si>
    <t>6798-03</t>
  </si>
  <si>
    <t>64-70 Maurice Ave</t>
  </si>
  <si>
    <t>Maspeth, NY 11378</t>
  </si>
  <si>
    <t>(P)718-898-3088, 718-898-3089</t>
  </si>
  <si>
    <t>(F)718-732-2778</t>
  </si>
  <si>
    <t xml:space="preserve">Project </t>
  </si>
  <si>
    <t>Midtown West 47 Street</t>
  </si>
  <si>
    <t>Estimator</t>
  </si>
  <si>
    <t>Job Address :</t>
  </si>
  <si>
    <t>343 West 47th Street</t>
  </si>
  <si>
    <t>Marcus Bannister</t>
  </si>
  <si>
    <t>City/State:</t>
  </si>
  <si>
    <t xml:space="preserve"> New York, NY</t>
  </si>
  <si>
    <t xml:space="preserve">PM: </t>
  </si>
  <si>
    <t>Floors :</t>
  </si>
  <si>
    <t>Kelvin Zou</t>
  </si>
  <si>
    <t>Proposal</t>
  </si>
  <si>
    <t xml:space="preserve">Admin </t>
  </si>
  <si>
    <t xml:space="preserve">Client Contact Information  </t>
  </si>
  <si>
    <t>Name</t>
  </si>
  <si>
    <t>Contact info:</t>
  </si>
  <si>
    <t>343 West 47th Street 10036</t>
  </si>
  <si>
    <t xml:space="preserve">New York NY </t>
  </si>
  <si>
    <t>Architect :</t>
  </si>
  <si>
    <t>Melamed Architect PC</t>
  </si>
  <si>
    <t>Address</t>
  </si>
  <si>
    <t>157 West 27th Street, Suite 303, New York NY 10036</t>
  </si>
  <si>
    <t xml:space="preserve">Contact info: </t>
  </si>
  <si>
    <t>www.melamedarchitect.com</t>
  </si>
  <si>
    <t>Gen Conditions</t>
  </si>
  <si>
    <t>Insurance</t>
  </si>
  <si>
    <t xml:space="preserve">Designer: </t>
  </si>
  <si>
    <t>Prof &amp;O/H</t>
  </si>
  <si>
    <t>Building Square Footage</t>
  </si>
  <si>
    <t>Budget Total</t>
  </si>
  <si>
    <t xml:space="preserve">Drawing Manifest: </t>
  </si>
  <si>
    <t xml:space="preserve">Drawings Schematic Design Documents dated-2-22-2023  </t>
  </si>
  <si>
    <t xml:space="preserve">Notes: </t>
  </si>
  <si>
    <t>Reviewed By: Kelvin Zou</t>
  </si>
  <si>
    <t xml:space="preserve">Date: </t>
  </si>
  <si>
    <t>Cost Code</t>
  </si>
  <si>
    <t>Description</t>
  </si>
  <si>
    <t>Estimated Cost</t>
  </si>
  <si>
    <t>Subtotal</t>
  </si>
  <si>
    <t>Total</t>
  </si>
  <si>
    <t>343 W 47th Street</t>
  </si>
  <si>
    <t>Schematic Cost Estimate</t>
  </si>
  <si>
    <t>Cost Estimate</t>
  </si>
  <si>
    <t>Total SF</t>
  </si>
  <si>
    <t>Trade/Item Description</t>
  </si>
  <si>
    <t>Unit</t>
  </si>
  <si>
    <t>Quantity</t>
  </si>
  <si>
    <t>Cost Per</t>
  </si>
  <si>
    <t>Sub-total</t>
  </si>
  <si>
    <t>Completed</t>
  </si>
  <si>
    <t>02 00 00</t>
  </si>
  <si>
    <t>Demolition</t>
  </si>
  <si>
    <t>General Demoition of building interior</t>
  </si>
  <si>
    <t>LS</t>
  </si>
  <si>
    <t>Demolition of existing roof containing asbestos</t>
  </si>
  <si>
    <t>Demo to Lower existing of 1st floor by 4ft</t>
  </si>
  <si>
    <t>Removal of tree at backyard</t>
  </si>
  <si>
    <t>Removal of front stoop</t>
  </si>
  <si>
    <t>Job site construction fence enclosure</t>
  </si>
  <si>
    <t>LF</t>
  </si>
  <si>
    <t>Remove Chimney</t>
  </si>
  <si>
    <t>Remove 6" slab at cellar</t>
  </si>
  <si>
    <t>SF</t>
  </si>
  <si>
    <t>Sunk Yard at the back approx 16'8" x 15'8" X11'</t>
  </si>
  <si>
    <t>CY</t>
  </si>
  <si>
    <t>Chop rubber masonry foundation 8"X11'X6'11"</t>
  </si>
  <si>
    <t>Sub Total</t>
  </si>
  <si>
    <t>02 10 00</t>
  </si>
  <si>
    <t>Excavation</t>
  </si>
  <si>
    <t>Site mobilization</t>
  </si>
  <si>
    <t>OSHA Temporary protection</t>
  </si>
  <si>
    <t>Shop Drawing</t>
  </si>
  <si>
    <t>Equipment Rental</t>
  </si>
  <si>
    <t>Excavation , Transportation and Disposal of soil, (1,193 sf 5'-6" dept)</t>
  </si>
  <si>
    <t>Minimum 6" layer 3/4" clean stones (3,184X0.5/27</t>
  </si>
  <si>
    <t>Rock cutting at found wall elevation to build elevator shear wall</t>
  </si>
  <si>
    <t>03 00 00</t>
  </si>
  <si>
    <t>Concrete</t>
  </si>
  <si>
    <t>Design Mix TR-3</t>
  </si>
  <si>
    <t>8"' 5000psi Concrete slab on grade</t>
  </si>
  <si>
    <t>Pump Truck</t>
  </si>
  <si>
    <t>EA</t>
  </si>
  <si>
    <t>Waterproofing and Vapor Barrier:</t>
  </si>
  <si>
    <t xml:space="preserve">Vapor Barrier by Stego Industries, LLC. Vapor Barrier &amp; Waterproofing </t>
  </si>
  <si>
    <t>Shear Wall"</t>
  </si>
  <si>
    <t>SW1</t>
  </si>
  <si>
    <t>SW2</t>
  </si>
  <si>
    <t>SW3</t>
  </si>
  <si>
    <t>SW4</t>
  </si>
  <si>
    <t>SW5</t>
  </si>
  <si>
    <t>Columns</t>
  </si>
  <si>
    <t xml:space="preserve">Elevator Pit wall </t>
  </si>
  <si>
    <t>12" Raitaining wall at rear yard</t>
  </si>
  <si>
    <t>Concrete Deck:</t>
  </si>
  <si>
    <t>8" thick Concrete Slab:</t>
  </si>
  <si>
    <t>2nd Floor thru 7th floor and roof  8" Thick Concrete Slab</t>
  </si>
  <si>
    <t xml:space="preserve"> 1st Floor  8" Thick Concrete Slab</t>
  </si>
  <si>
    <t xml:space="preserve">Sidewalk: </t>
  </si>
  <si>
    <t>New curb at Park Ave</t>
  </si>
  <si>
    <t xml:space="preserve">Sidewalk </t>
  </si>
  <si>
    <t>Concrete Paved rear yard area</t>
  </si>
  <si>
    <t>New asphalt road strip (3")</t>
  </si>
  <si>
    <t>8" Concrete Footing at Curb</t>
  </si>
  <si>
    <t>Exterior Terrace Pavers-Back Yard</t>
  </si>
  <si>
    <t>Site Work:</t>
  </si>
  <si>
    <t>New Trees, Silver Linden or approved</t>
  </si>
  <si>
    <t>5'X10 Tree Pit</t>
  </si>
  <si>
    <t>Planters-Small</t>
  </si>
  <si>
    <t>Planters-Large</t>
  </si>
  <si>
    <t>Planter-Bed</t>
  </si>
  <si>
    <t>03 10 00</t>
  </si>
  <si>
    <t>Landscaping</t>
  </si>
  <si>
    <t>Planting at the back yard.</t>
  </si>
  <si>
    <t>04 00 00</t>
  </si>
  <si>
    <t xml:space="preserve">CMU Masonry </t>
  </si>
  <si>
    <t xml:space="preserve">CMU </t>
  </si>
  <si>
    <t>West Elevation Finishes</t>
  </si>
  <si>
    <t>Stucco at West Elevation (Option A)</t>
  </si>
  <si>
    <t>05 00 00</t>
  </si>
  <si>
    <t>Misc Steel:</t>
  </si>
  <si>
    <t>Guardrail at stairs A-Cellar thru roof</t>
  </si>
  <si>
    <t>Guardrail at stairs B-Cellar thru 1st floor</t>
  </si>
  <si>
    <t>Steel Pan Stair A-Cellar thru roof</t>
  </si>
  <si>
    <t>Steel Pan Stair B-Cellar thru 1st floor</t>
  </si>
  <si>
    <t>Steel Spiral Stair-Cellar thru 1st floor</t>
  </si>
  <si>
    <t>Steel Spiral Stair-7th thru roof</t>
  </si>
  <si>
    <t>Exterior Stairs</t>
  </si>
  <si>
    <t>Metal Ladder at roof</t>
  </si>
  <si>
    <t>06 22 00</t>
  </si>
  <si>
    <t>Millwork</t>
  </si>
  <si>
    <t>Apt. Kitchen Cabinet, (15'lf)</t>
  </si>
  <si>
    <t>Bathroom Vanity</t>
  </si>
  <si>
    <t>07 10 00</t>
  </si>
  <si>
    <t>Waterproofing</t>
  </si>
  <si>
    <t>Bathrooms</t>
  </si>
  <si>
    <t>Kitchens</t>
  </si>
  <si>
    <t>07 30 00</t>
  </si>
  <si>
    <t>Exterior Panel System</t>
  </si>
  <si>
    <t>Glass Fiber Panel and Metal Panel:</t>
  </si>
  <si>
    <t>Textured Fiber cement panel West Elevation (Option A)</t>
  </si>
  <si>
    <t>Exterior Metal Panels West Elevation (Option A)</t>
  </si>
  <si>
    <t>Front Elevation Finishes</t>
  </si>
  <si>
    <t>Textured Fiber cement panel Front Elevation (Option A)</t>
  </si>
  <si>
    <t>Exterior Metal Panels Front Elevation (Option A)</t>
  </si>
  <si>
    <t>Regid Insulation and Waterproofing behind panels</t>
  </si>
  <si>
    <t>07 40 00</t>
  </si>
  <si>
    <t xml:space="preserve">Roofing </t>
  </si>
  <si>
    <t>SBS Siplast Roofing System Over</t>
  </si>
  <si>
    <t>R-20 Tapered Rigid Insulation 6" min.</t>
  </si>
  <si>
    <t>Sprayed on Vapor Babier</t>
  </si>
  <si>
    <t>Flashing &amp; Counter flashing</t>
  </si>
  <si>
    <t>Aluminum Formed Coping at Parapet</t>
  </si>
  <si>
    <t>Pressure Treated Wood Blocking 2"x8"</t>
  </si>
  <si>
    <t xml:space="preserve">Sprayed Vapor barrier </t>
  </si>
  <si>
    <t>Cant Strip</t>
  </si>
  <si>
    <t>Pavers</t>
  </si>
  <si>
    <t>Concrete Pavers on Pedestals at roof</t>
  </si>
  <si>
    <t>Concrete Pavers on Pedestals at 1st floor terrace</t>
  </si>
  <si>
    <t>Concrete Pavers on Pedestals at balcony 3rd thru 7th fl</t>
  </si>
  <si>
    <t>08 11 00</t>
  </si>
  <si>
    <t>Doors &amp; Frames, A-600</t>
  </si>
  <si>
    <t>Furnish of Hardware</t>
  </si>
  <si>
    <t>Installation of Doors:</t>
  </si>
  <si>
    <t>Mech Room Door</t>
  </si>
  <si>
    <t>Powder Room Door</t>
  </si>
  <si>
    <t>Stair Door</t>
  </si>
  <si>
    <t>Cellar Yard Door</t>
  </si>
  <si>
    <t>Bathroom Door</t>
  </si>
  <si>
    <t>Bedroom Door</t>
  </si>
  <si>
    <t>1st Floor Yard Door</t>
  </si>
  <si>
    <t>Apartment Entry Door</t>
  </si>
  <si>
    <t>Balcony Door</t>
  </si>
  <si>
    <t>Roof Terrace Door</t>
  </si>
  <si>
    <t>Closet Doors</t>
  </si>
  <si>
    <t>08 40 00</t>
  </si>
  <si>
    <t>Window and Storefront</t>
  </si>
  <si>
    <t>Glazing</t>
  </si>
  <si>
    <t>2'x8'-7" Punch Windows @ west elevation (Option A</t>
  </si>
  <si>
    <t xml:space="preserve"> Glass wall Front Elevation (Option A)</t>
  </si>
  <si>
    <t xml:space="preserve"> Glass window/wall Rear Elevation (Option A) (16 ea assume (8'Wx6'H)</t>
  </si>
  <si>
    <t>Glass Handrail-Roof:</t>
  </si>
  <si>
    <t xml:space="preserve"> Glass roof rail Front Elevation (Option A)</t>
  </si>
  <si>
    <t xml:space="preserve"> Glass roof rail @ 5 balcony (Option A)</t>
  </si>
  <si>
    <t xml:space="preserve">Glass Guard Rail at Back Elevation </t>
  </si>
  <si>
    <t>Shower Doors</t>
  </si>
  <si>
    <t>09 21 00</t>
  </si>
  <si>
    <t>Drywall Carpentry</t>
  </si>
  <si>
    <t>Furring Wall</t>
  </si>
  <si>
    <t>3-1/2" 25 GA Mtl stud @ 16" OC</t>
  </si>
  <si>
    <t>(1) 5/8" S/R one side</t>
  </si>
  <si>
    <t>3-5/8" SAB Insulation</t>
  </si>
  <si>
    <t>Interior Partitions</t>
  </si>
  <si>
    <t>5/8" S/R on Each side</t>
  </si>
  <si>
    <t>Ceiling:</t>
  </si>
  <si>
    <t>Gyp Board Ceiling (Assume Gymsum ceiling throughout)</t>
  </si>
  <si>
    <t>Blocking:</t>
  </si>
  <si>
    <t>Laundry Room</t>
  </si>
  <si>
    <t>Mailbox</t>
  </si>
  <si>
    <t>Utility Room</t>
  </si>
  <si>
    <t>09 30 00</t>
  </si>
  <si>
    <t>Tile and Stone</t>
  </si>
  <si>
    <t>Floor Tile - Bathrooms</t>
  </si>
  <si>
    <t>Wall Tile - Bathrooms</t>
  </si>
  <si>
    <t>Floor Tile - Laundry</t>
  </si>
  <si>
    <t>Wall Tile - Kitchen Backsplach  Tile</t>
  </si>
  <si>
    <t>Stone-Counter Tops</t>
  </si>
  <si>
    <t>Kitchens Counter Top</t>
  </si>
  <si>
    <t>Bathroom Vanity Counter Top</t>
  </si>
  <si>
    <t>09 62 00</t>
  </si>
  <si>
    <t>Concrete Coating</t>
  </si>
  <si>
    <t xml:space="preserve">Polish Concrete floor at Basement </t>
  </si>
  <si>
    <t>09 64 00</t>
  </si>
  <si>
    <t>Wood Floor</t>
  </si>
  <si>
    <t>Hardwood - Strip Flooring</t>
  </si>
  <si>
    <t>Rubber Base Insulation</t>
  </si>
  <si>
    <t>3/4" Plywood Subfloor</t>
  </si>
  <si>
    <t>Wood Base molding 6"</t>
  </si>
  <si>
    <t>09 90 00</t>
  </si>
  <si>
    <t>Painting</t>
  </si>
  <si>
    <t>Apartment-Including walls, ceiling, doors and finishes</t>
  </si>
  <si>
    <t xml:space="preserve">Stair Case Basement to roof Floor </t>
  </si>
  <si>
    <t>10 00 00</t>
  </si>
  <si>
    <t>Specialties</t>
  </si>
  <si>
    <t>10 10 00</t>
  </si>
  <si>
    <t>Roof Top Furnishing</t>
  </si>
  <si>
    <t>Roof top Jacuzzi</t>
  </si>
  <si>
    <t>Wet Bar</t>
  </si>
  <si>
    <t>Roof Furniture</t>
  </si>
  <si>
    <t>10 20 00</t>
  </si>
  <si>
    <t>Mail boxes- Florence, A-601</t>
  </si>
  <si>
    <t>4C06D-09 (6 Apt. Mailboxes)</t>
  </si>
  <si>
    <t>10 14 00</t>
  </si>
  <si>
    <t>Signage</t>
  </si>
  <si>
    <t>Trash room</t>
  </si>
  <si>
    <t>Mechanical room</t>
  </si>
  <si>
    <t>Elevator room</t>
  </si>
  <si>
    <t>Mechanical utility room</t>
  </si>
  <si>
    <t>Exit</t>
  </si>
  <si>
    <t>Elevator</t>
  </si>
  <si>
    <t>Stair A</t>
  </si>
  <si>
    <t>Stair B</t>
  </si>
  <si>
    <t>Apartment Entry</t>
  </si>
  <si>
    <t>10 28 00</t>
  </si>
  <si>
    <t>Toilet Accessories</t>
  </si>
  <si>
    <t>Mirror Medicine Cabinet-Surface Mount</t>
  </si>
  <si>
    <t>Grab bar</t>
  </si>
  <si>
    <t>Towel bar</t>
  </si>
  <si>
    <t>Toilet paper holder</t>
  </si>
  <si>
    <t>Soap Dish/Tumbler Holder</t>
  </si>
  <si>
    <t>11 31 00</t>
  </si>
  <si>
    <t>Appliances</t>
  </si>
  <si>
    <t>Cooktop, General Electric, JGP5030DLBB, Black</t>
  </si>
  <si>
    <t>Wall Oven, General Electric, JT3000DFBB, Black</t>
  </si>
  <si>
    <t>Refrigerator, General Electric, GBE21DGKBB, Black</t>
  </si>
  <si>
    <t>Counter-Depth Refrigerator, General Electric</t>
  </si>
  <si>
    <t>Dishwasher, General Electric, CDT835SMJDS, Black</t>
  </si>
  <si>
    <t>Microwave, General Electric, JNM7196DKBB, Black</t>
  </si>
  <si>
    <t>Gas Dryer, General Electric, GFD45GSPMDG, Black</t>
  </si>
  <si>
    <t>Washer, General Electric, GFW450SPMDG, Black</t>
  </si>
  <si>
    <t>14 20 00</t>
  </si>
  <si>
    <t>Conveying System</t>
  </si>
  <si>
    <t>3500 LBS Elevator (7 Stops)</t>
  </si>
  <si>
    <t>Elevator Cab</t>
  </si>
  <si>
    <t>21 00 00</t>
  </si>
  <si>
    <t>Fire Protection</t>
  </si>
  <si>
    <t>Sprinkler Heads (approx 80 heads)</t>
  </si>
  <si>
    <t>Fire Pump-PEERLESS MODEL 5PVF11 500GMP 243FT.HD 105PSI 25HP</t>
  </si>
  <si>
    <t>Jockey Pump-GRUNDFOS SERIES S (CR) 10GMP @243FT.HD 3HP</t>
  </si>
  <si>
    <t>Fire Pump Control Panel-(FIRETOOL FTA1000)</t>
  </si>
  <si>
    <t>Jockey Pump Control Panel-(FTA500)</t>
  </si>
  <si>
    <t>3"x3"x6" Flush wall mount wet siamese</t>
  </si>
  <si>
    <t>DCDA Double check detector</t>
  </si>
  <si>
    <t xml:space="preserve">Tampe switch </t>
  </si>
  <si>
    <t>(SPFCA) Sprinkler Floor Control Valve Assembly</t>
  </si>
  <si>
    <t>Check Valve</t>
  </si>
  <si>
    <t>New 3-Way Manfold</t>
  </si>
  <si>
    <t>4" Sprinkler Standpipe Riser</t>
  </si>
  <si>
    <t>1" Sprinkler Piping</t>
  </si>
  <si>
    <t>2" Sprinkler Piping</t>
  </si>
  <si>
    <t>1-1/4"  Sprinkler Piping</t>
  </si>
  <si>
    <t>22 00 00</t>
  </si>
  <si>
    <t>Plumbing</t>
  </si>
  <si>
    <t>General plumbing of apartments</t>
  </si>
  <si>
    <t>4" Domestic Water Service</t>
  </si>
  <si>
    <t>4" Sprinkler Service</t>
  </si>
  <si>
    <t>6" Combine Sewer Service</t>
  </si>
  <si>
    <t>Piping</t>
  </si>
  <si>
    <t>6" Underground Piping</t>
  </si>
  <si>
    <t>Floor heating in each bathroom</t>
  </si>
  <si>
    <t>Sanitary Riser:</t>
  </si>
  <si>
    <t>Included</t>
  </si>
  <si>
    <t>4" Sanitary Riser</t>
  </si>
  <si>
    <t>3" Vent Riser</t>
  </si>
  <si>
    <t>Domestic Riser:</t>
  </si>
  <si>
    <t>1-1/2" Cold Water Riser</t>
  </si>
  <si>
    <t>1-3/4" Cold Water Riser</t>
  </si>
  <si>
    <t>3/4" Hot Water Riser</t>
  </si>
  <si>
    <t>3/4" Hot Water Recirculation Riser</t>
  </si>
  <si>
    <t>Gas Riser:</t>
  </si>
  <si>
    <t>3/4" Gas Riser</t>
  </si>
  <si>
    <t>Storm Riser:</t>
  </si>
  <si>
    <t>4" Storm Riser</t>
  </si>
  <si>
    <t>Horizontal Plumbing Piping:</t>
  </si>
  <si>
    <t>6" Sanitary pipe</t>
  </si>
  <si>
    <t>3/4" hot water</t>
  </si>
  <si>
    <t xml:space="preserve">3/4" hot water recirculation </t>
  </si>
  <si>
    <t xml:space="preserve">3/4" Cold water </t>
  </si>
  <si>
    <t>1-1/4" Gas pipe</t>
  </si>
  <si>
    <t>4" Vent pipe</t>
  </si>
  <si>
    <t>4"  pipe Storm pipe</t>
  </si>
  <si>
    <t>Indirect Domestic Water Heater:</t>
  </si>
  <si>
    <t>HWH Instantaneous Hot Water Heater, AO Smith, ATI-540H</t>
  </si>
  <si>
    <t>Pumps:</t>
  </si>
  <si>
    <t>ESP-1 FLYGT DP3045 IMPELLA 234 30 GMP, 31 FT. 2 HP Elevetor Sump Pump</t>
  </si>
  <si>
    <t>SEJ-1 Sewage Ejector Pump, Stancor SEW-150 50 GMP, 35FT, 1-1/2</t>
  </si>
  <si>
    <t>BP-1 Domestic Booster Pump, PEERLESS CR15-5ST-60H 115 GMP, 184 FT, 10 HP</t>
  </si>
  <si>
    <t>Gas Presure Booster Pump</t>
  </si>
  <si>
    <t>Water Meters</t>
  </si>
  <si>
    <t>Gas Meters</t>
  </si>
  <si>
    <t>22 40 00</t>
  </si>
  <si>
    <t>Plumbing Fixtures</t>
  </si>
  <si>
    <t>Faucets:</t>
  </si>
  <si>
    <t>Laboratory Sink Faucet</t>
  </si>
  <si>
    <t xml:space="preserve">Bath Tub shower set </t>
  </si>
  <si>
    <t xml:space="preserve">Shower set </t>
  </si>
  <si>
    <t>Kitchen Sink Faucet</t>
  </si>
  <si>
    <t>Fixtures:</t>
  </si>
  <si>
    <t>Shower Pan</t>
  </si>
  <si>
    <t>Toilet</t>
  </si>
  <si>
    <t>Bathroom sink</t>
  </si>
  <si>
    <t>Bath Tub</t>
  </si>
  <si>
    <t>Kitchen Sink</t>
  </si>
  <si>
    <t>23 00 00</t>
  </si>
  <si>
    <t>HVAC</t>
  </si>
  <si>
    <t>Ductwork:</t>
  </si>
  <si>
    <t>Air Riser: M200</t>
  </si>
  <si>
    <t>12"</t>
  </si>
  <si>
    <t>8"</t>
  </si>
  <si>
    <t>6"</t>
  </si>
  <si>
    <t>8X6</t>
  </si>
  <si>
    <t>10X8</t>
  </si>
  <si>
    <t>6X4</t>
  </si>
  <si>
    <t>18X16</t>
  </si>
  <si>
    <t>Horizontal Ductwork:</t>
  </si>
  <si>
    <t>4X4</t>
  </si>
  <si>
    <t>4" Round Ductwork</t>
  </si>
  <si>
    <t>8X10</t>
  </si>
  <si>
    <t>12X12</t>
  </si>
  <si>
    <t>Refridgerant Piping</t>
  </si>
  <si>
    <t>Equipment:</t>
  </si>
  <si>
    <t>Gas fired make-up unit: (Allowance only)</t>
  </si>
  <si>
    <t>MUA-1, OABD 1083A3, Trane</t>
  </si>
  <si>
    <t>Condensing Unit</t>
  </si>
  <si>
    <t>CU-1, MXZ-8C48NAHZ, Mitsubishi</t>
  </si>
  <si>
    <t>CU-2, MXZ-8C48NAHZ, Mitsubishi</t>
  </si>
  <si>
    <t>CU-3, MXZ-8C48NAHZ, Mitsubishi</t>
  </si>
  <si>
    <t>CU-4, MXZ-8C48NAHZ, Mitsubishi</t>
  </si>
  <si>
    <t>CU-5, MXZ-8C48NAHZ, Mitsubishi</t>
  </si>
  <si>
    <t>CU-6, MXZ-8C48NAHZ, Mitsubishi</t>
  </si>
  <si>
    <t>AC Units</t>
  </si>
  <si>
    <t>(1)-MSZ-FH12NA, Wall Mounted , Mitsubishi</t>
  </si>
  <si>
    <t>(2)-SEZ-KD12NA, Concealed CLG., Mitsubishi</t>
  </si>
  <si>
    <t>(3)-MSZ-FH06NA, Wall Mounted , Mitsubishi</t>
  </si>
  <si>
    <t>(4)-MSZ-FH09NA, Wall Mounted , Mitsubishi</t>
  </si>
  <si>
    <t>Fans:</t>
  </si>
  <si>
    <t>GX-1, Utility room, roof, CFM 530, Cube-101, Greenheck</t>
  </si>
  <si>
    <t>GX-2, Kitchen, roof, CFM 150, SWV327, Greenheck</t>
  </si>
  <si>
    <t>TX-1, Toilet, roof, CFM 350, SWV215, Greenheck</t>
  </si>
  <si>
    <t>TX-2 Toilet, roof, CFM 300, GB-101HP-VG, Greenheck</t>
  </si>
  <si>
    <t>DX-1 Dryers Exhaust, Roof, CFM 900, RT1500, TJERNLUND</t>
  </si>
  <si>
    <t>HVAC Fixtures:</t>
  </si>
  <si>
    <t>CD-Ceiling Diffuser</t>
  </si>
  <si>
    <t>TR-Top Register</t>
  </si>
  <si>
    <t>RG-Return Grille</t>
  </si>
  <si>
    <t>Rigging</t>
  </si>
  <si>
    <t>Fire Dampers: fully recess blade</t>
  </si>
  <si>
    <t>Access Doors 14"x14"</t>
  </si>
  <si>
    <t>Vibration Isolator</t>
  </si>
  <si>
    <t>Discharge Cap</t>
  </si>
  <si>
    <t>Return air screen</t>
  </si>
  <si>
    <t>Connection:flexible</t>
  </si>
  <si>
    <t>Duct Hangers and Support</t>
  </si>
  <si>
    <t>Roof Curb</t>
  </si>
  <si>
    <t>26 00 00</t>
  </si>
  <si>
    <t>Electrical</t>
  </si>
  <si>
    <t>Apartments Building General Wiring &amp; Power- Cellar to 6th Floor, Roof and Exterior Lighting</t>
  </si>
  <si>
    <t>Lighting fixtures for apartments</t>
  </si>
  <si>
    <t>Include the following:</t>
  </si>
  <si>
    <t>Property Line Box</t>
  </si>
  <si>
    <t>Incoming Electrical Service</t>
  </si>
  <si>
    <t>Empty Conduit With Pull string</t>
  </si>
  <si>
    <t>MDP Panel</t>
  </si>
  <si>
    <t>Risers to Panels</t>
  </si>
  <si>
    <t>Risers to Roof</t>
  </si>
  <si>
    <t>Distribution Panels</t>
  </si>
  <si>
    <t>Apartment Panels</t>
  </si>
  <si>
    <t>Power Supply to Boilers</t>
  </si>
  <si>
    <t>Power Supply to Elevator</t>
  </si>
  <si>
    <t>Power Supply to Mechanical Units</t>
  </si>
  <si>
    <t>Power Supply to Pump</t>
  </si>
  <si>
    <t>General Power Supply to Lighting Distribution</t>
  </si>
  <si>
    <t>General Power to Outlet &amp; Switches</t>
  </si>
  <si>
    <t>Outlets &amp; Switches</t>
  </si>
  <si>
    <t>Circuit Breaker</t>
  </si>
  <si>
    <t>Junction Boxes</t>
  </si>
  <si>
    <t>Lighting Fixtures installation</t>
  </si>
  <si>
    <t>Low Voltage Work</t>
  </si>
  <si>
    <t xml:space="preserve">Telephone and Data </t>
  </si>
  <si>
    <t>Airphone and Video Intercom System</t>
  </si>
  <si>
    <t>Card Entry System</t>
  </si>
  <si>
    <t>28 31 00</t>
  </si>
  <si>
    <t xml:space="preserve">Fire Alarm </t>
  </si>
  <si>
    <t xml:space="preserve">Apartment - Fire Alarm System </t>
  </si>
  <si>
    <t>FACP-Fire Alarm Control Panel</t>
  </si>
  <si>
    <t>Photo Electroc Smoke Detector</t>
  </si>
  <si>
    <t>Syste Carbon Monoxide Detector</t>
  </si>
  <si>
    <t>Control Relay</t>
  </si>
  <si>
    <t>Monitoring Module</t>
  </si>
  <si>
    <t>Tamper Switch</t>
  </si>
  <si>
    <t>Water Flow Switch</t>
  </si>
  <si>
    <t>Manual Pull Station</t>
  </si>
  <si>
    <t>Fire Alarm Lockable Disconnect Switch</t>
  </si>
  <si>
    <t>General Conditions (7%)</t>
  </si>
  <si>
    <t>Insurance (4%)</t>
  </si>
  <si>
    <t>Overhead and Profit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</si>
</sst>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/dd/yy"/>
    <numFmt numFmtId="167" formatCode="\(???\)\ ???\-????"/>
    <numFmt numFmtId="168" formatCode="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Arial MT"/>
    </font>
    <font>
      <sz val="10"/>
      <name val="Times New Roman"/>
      <family val="1"/>
    </font>
    <font>
      <u/>
      <sz val="16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u/>
      <sz val="11"/>
      <name val="Times New Roman"/>
      <family val="1"/>
    </font>
    <font>
      <u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u/>
      <sz val="12"/>
      <color theme="10"/>
      <name val="Arial MT"/>
    </font>
    <font>
      <b/>
      <u/>
      <sz val="10"/>
      <name val="Times New Roman"/>
      <family val="1"/>
    </font>
    <font>
      <u/>
      <sz val="12"/>
      <color theme="1"/>
      <name val="Arial MT"/>
    </font>
    <font>
      <b/>
      <sz val="10"/>
      <color rgb="FFFF0000"/>
      <name val="Times New Roman"/>
      <family val="1"/>
    </font>
    <font>
      <b/>
      <sz val="12"/>
      <color rgb="FFFF0000"/>
      <name val="Arial MT"/>
    </font>
    <font>
      <b/>
      <u/>
      <sz val="1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 tint="4.9989318521683403E-2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u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u/>
      <sz val="12"/>
      <color theme="10"/>
      <name val="Arial M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double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37" fontId="16" fillId="0" borderId="0" applyBorder="0"/>
    <xf numFmtId="37" fontId="2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</cellStyleXfs>
  <cellXfs count="39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/>
    <xf numFmtId="0" fontId="0" fillId="0" borderId="11" xfId="0" applyBorder="1"/>
    <xf numFmtId="0" fontId="0" fillId="0" borderId="13" xfId="0" applyBorder="1"/>
    <xf numFmtId="0" fontId="4" fillId="2" borderId="4" xfId="0" applyFont="1" applyFill="1" applyBorder="1" applyAlignment="1">
      <alignment horizontal="center"/>
    </xf>
    <xf numFmtId="0" fontId="0" fillId="0" borderId="17" xfId="0" applyBorder="1"/>
    <xf numFmtId="0" fontId="0" fillId="0" borderId="6" xfId="0" applyBorder="1"/>
    <xf numFmtId="164" fontId="0" fillId="0" borderId="16" xfId="1" applyNumberFormat="1" applyFont="1" applyBorder="1"/>
    <xf numFmtId="43" fontId="0" fillId="0" borderId="9" xfId="1" applyFont="1" applyBorder="1"/>
    <xf numFmtId="44" fontId="0" fillId="0" borderId="9" xfId="4" applyFont="1" applyBorder="1"/>
    <xf numFmtId="0" fontId="0" fillId="0" borderId="18" xfId="0" applyBorder="1" applyAlignment="1">
      <alignment wrapText="1"/>
    </xf>
    <xf numFmtId="0" fontId="0" fillId="0" borderId="20" xfId="0" applyBorder="1"/>
    <xf numFmtId="43" fontId="0" fillId="0" borderId="8" xfId="1" applyFont="1" applyBorder="1"/>
    <xf numFmtId="0" fontId="0" fillId="0" borderId="8" xfId="0" applyBorder="1"/>
    <xf numFmtId="44" fontId="0" fillId="0" borderId="8" xfId="4" applyFont="1" applyBorder="1"/>
    <xf numFmtId="43" fontId="9" fillId="0" borderId="8" xfId="1" applyFont="1" applyFill="1" applyBorder="1"/>
    <xf numFmtId="0" fontId="0" fillId="2" borderId="0" xfId="0" applyFill="1"/>
    <xf numFmtId="0" fontId="0" fillId="0" borderId="9" xfId="0" applyBorder="1"/>
    <xf numFmtId="43" fontId="0" fillId="0" borderId="8" xfId="1" applyFont="1" applyBorder="1" applyAlignment="1"/>
    <xf numFmtId="0" fontId="9" fillId="0" borderId="8" xfId="0" applyFont="1" applyBorder="1"/>
    <xf numFmtId="0" fontId="0" fillId="0" borderId="22" xfId="0" applyBorder="1"/>
    <xf numFmtId="0" fontId="0" fillId="0" borderId="23" xfId="0" applyBorder="1"/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4" fillId="2" borderId="24" xfId="0" applyFont="1" applyFill="1" applyBorder="1"/>
    <xf numFmtId="0" fontId="4" fillId="2" borderId="17" xfId="0" applyFont="1" applyFill="1" applyBorder="1"/>
    <xf numFmtId="165" fontId="0" fillId="0" borderId="20" xfId="4" applyNumberFormat="1" applyFont="1" applyFill="1" applyBorder="1"/>
    <xf numFmtId="165" fontId="4" fillId="2" borderId="25" xfId="4" applyNumberFormat="1" applyFont="1" applyFill="1" applyBorder="1"/>
    <xf numFmtId="165" fontId="4" fillId="2" borderId="20" xfId="4" applyNumberFormat="1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165" fontId="4" fillId="2" borderId="29" xfId="4" applyNumberFormat="1" applyFont="1" applyFill="1" applyBorder="1"/>
    <xf numFmtId="0" fontId="3" fillId="0" borderId="0" xfId="5"/>
    <xf numFmtId="37" fontId="16" fillId="0" borderId="0" xfId="6"/>
    <xf numFmtId="37" fontId="16" fillId="3" borderId="0" xfId="6" applyFill="1"/>
    <xf numFmtId="37" fontId="16" fillId="0" borderId="0" xfId="6" applyBorder="1"/>
    <xf numFmtId="0" fontId="17" fillId="0" borderId="0" xfId="5" applyFont="1"/>
    <xf numFmtId="0" fontId="18" fillId="0" borderId="11" xfId="5" applyFont="1" applyBorder="1" applyAlignment="1">
      <alignment horizontal="center"/>
    </xf>
    <xf numFmtId="0" fontId="17" fillId="0" borderId="11" xfId="5" applyFont="1" applyBorder="1"/>
    <xf numFmtId="0" fontId="19" fillId="0" borderId="11" xfId="5" applyFont="1" applyBorder="1" applyAlignment="1">
      <alignment horizontal="right"/>
    </xf>
    <xf numFmtId="166" fontId="17" fillId="0" borderId="31" xfId="5" applyNumberFormat="1" applyFont="1" applyBorder="1" applyAlignment="1">
      <alignment horizontal="center"/>
    </xf>
    <xf numFmtId="0" fontId="21" fillId="0" borderId="0" xfId="5" applyFont="1"/>
    <xf numFmtId="0" fontId="21" fillId="0" borderId="33" xfId="5" applyFont="1" applyBorder="1" applyAlignment="1">
      <alignment horizontal="left"/>
    </xf>
    <xf numFmtId="0" fontId="21" fillId="0" borderId="34" xfId="5" applyFont="1" applyBorder="1" applyAlignment="1">
      <alignment horizontal="left"/>
    </xf>
    <xf numFmtId="0" fontId="17" fillId="0" borderId="36" xfId="5" applyFont="1" applyBorder="1"/>
    <xf numFmtId="0" fontId="17" fillId="0" borderId="37" xfId="5" applyFont="1" applyBorder="1"/>
    <xf numFmtId="0" fontId="17" fillId="0" borderId="38" xfId="5" applyFont="1" applyBorder="1"/>
    <xf numFmtId="37" fontId="22" fillId="0" borderId="0" xfId="6" applyFont="1" applyBorder="1" applyAlignment="1">
      <alignment horizontal="right"/>
    </xf>
    <xf numFmtId="0" fontId="17" fillId="0" borderId="0" xfId="5" applyFont="1" applyAlignment="1">
      <alignment horizontal="center"/>
    </xf>
    <xf numFmtId="0" fontId="23" fillId="0" borderId="32" xfId="5" applyFont="1" applyBorder="1" applyAlignment="1">
      <alignment horizontal="right"/>
    </xf>
    <xf numFmtId="0" fontId="24" fillId="0" borderId="30" xfId="5" applyFont="1" applyBorder="1"/>
    <xf numFmtId="0" fontId="25" fillId="0" borderId="39" xfId="5" applyFont="1" applyBorder="1"/>
    <xf numFmtId="37" fontId="22" fillId="0" borderId="1" xfId="6" applyFont="1" applyBorder="1" applyAlignment="1">
      <alignment horizontal="center"/>
    </xf>
    <xf numFmtId="37" fontId="22" fillId="0" borderId="0" xfId="6" applyFont="1" applyBorder="1" applyAlignment="1">
      <alignment horizontal="center"/>
    </xf>
    <xf numFmtId="37" fontId="22" fillId="0" borderId="1" xfId="6" applyFont="1" applyBorder="1" applyAlignment="1">
      <alignment horizontal="center" vertical="top"/>
    </xf>
    <xf numFmtId="37" fontId="22" fillId="0" borderId="0" xfId="6" applyFont="1" applyBorder="1"/>
    <xf numFmtId="37" fontId="22" fillId="0" borderId="3" xfId="6" applyFont="1" applyBorder="1"/>
    <xf numFmtId="0" fontId="17" fillId="0" borderId="3" xfId="5" applyFont="1" applyBorder="1"/>
    <xf numFmtId="0" fontId="26" fillId="0" borderId="2" xfId="5" applyFont="1" applyBorder="1" applyAlignment="1">
      <alignment horizontal="center"/>
    </xf>
    <xf numFmtId="0" fontId="26" fillId="0" borderId="43" xfId="5" applyFont="1" applyBorder="1"/>
    <xf numFmtId="0" fontId="25" fillId="0" borderId="32" xfId="5" applyFont="1" applyBorder="1"/>
    <xf numFmtId="0" fontId="17" fillId="0" borderId="34" xfId="5" applyFont="1" applyBorder="1"/>
    <xf numFmtId="0" fontId="19" fillId="0" borderId="32" xfId="5" applyFont="1" applyBorder="1" applyAlignment="1">
      <alignment horizontal="right"/>
    </xf>
    <xf numFmtId="37" fontId="22" fillId="0" borderId="1" xfId="6" applyFont="1" applyBorder="1" applyAlignment="1">
      <alignment wrapText="1"/>
    </xf>
    <xf numFmtId="37" fontId="28" fillId="0" borderId="0" xfId="7"/>
    <xf numFmtId="37" fontId="30" fillId="0" borderId="0" xfId="7" applyFont="1"/>
    <xf numFmtId="0" fontId="29" fillId="0" borderId="32" xfId="5" applyFont="1" applyBorder="1" applyAlignment="1">
      <alignment horizontal="center" vertical="center"/>
    </xf>
    <xf numFmtId="0" fontId="29" fillId="0" borderId="34" xfId="5" applyFont="1" applyBorder="1" applyAlignment="1">
      <alignment horizontal="center" vertical="center"/>
    </xf>
    <xf numFmtId="10" fontId="17" fillId="0" borderId="45" xfId="8" applyNumberFormat="1" applyFont="1" applyBorder="1" applyAlignment="1">
      <alignment horizontal="left"/>
    </xf>
    <xf numFmtId="0" fontId="17" fillId="0" borderId="5" xfId="5" applyFont="1" applyBorder="1"/>
    <xf numFmtId="167" fontId="22" fillId="0" borderId="1" xfId="6" applyNumberFormat="1" applyFont="1" applyBorder="1"/>
    <xf numFmtId="0" fontId="17" fillId="0" borderId="35" xfId="5" applyFont="1" applyBorder="1"/>
    <xf numFmtId="37" fontId="22" fillId="0" borderId="36" xfId="6" applyFont="1" applyBorder="1"/>
    <xf numFmtId="37" fontId="27" fillId="0" borderId="0" xfId="6" applyFont="1"/>
    <xf numFmtId="37" fontId="22" fillId="0" borderId="0" xfId="6" applyFont="1"/>
    <xf numFmtId="0" fontId="17" fillId="0" borderId="17" xfId="5" applyFont="1" applyBorder="1"/>
    <xf numFmtId="0" fontId="17" fillId="0" borderId="6" xfId="5" applyFont="1" applyBorder="1"/>
    <xf numFmtId="164" fontId="0" fillId="0" borderId="0" xfId="0" applyNumberFormat="1"/>
    <xf numFmtId="0" fontId="4" fillId="2" borderId="50" xfId="0" applyFont="1" applyFill="1" applyBorder="1" applyAlignment="1">
      <alignment horizontal="center"/>
    </xf>
    <xf numFmtId="0" fontId="4" fillId="2" borderId="50" xfId="0" applyFont="1" applyFill="1" applyBorder="1"/>
    <xf numFmtId="0" fontId="5" fillId="0" borderId="0" xfId="0" applyFont="1"/>
    <xf numFmtId="0" fontId="4" fillId="2" borderId="0" xfId="0" applyFont="1" applyFill="1" applyAlignment="1">
      <alignment horizontal="center"/>
    </xf>
    <xf numFmtId="0" fontId="0" fillId="0" borderId="52" xfId="0" applyBorder="1"/>
    <xf numFmtId="43" fontId="0" fillId="0" borderId="52" xfId="1" applyFont="1" applyBorder="1"/>
    <xf numFmtId="44" fontId="0" fillId="0" borderId="52" xfId="4" applyFont="1" applyBorder="1"/>
    <xf numFmtId="0" fontId="7" fillId="0" borderId="52" xfId="0" applyFont="1" applyBorder="1"/>
    <xf numFmtId="0" fontId="3" fillId="0" borderId="52" xfId="0" applyFont="1" applyBorder="1"/>
    <xf numFmtId="0" fontId="7" fillId="4" borderId="52" xfId="0" applyFont="1" applyFill="1" applyBorder="1"/>
    <xf numFmtId="44" fontId="7" fillId="4" borderId="52" xfId="4" applyFont="1" applyFill="1" applyBorder="1"/>
    <xf numFmtId="43" fontId="0" fillId="0" borderId="52" xfId="1" applyFont="1" applyFill="1" applyBorder="1"/>
    <xf numFmtId="43" fontId="0" fillId="0" borderId="52" xfId="1" applyFont="1" applyBorder="1" applyAlignment="1"/>
    <xf numFmtId="43" fontId="9" fillId="0" borderId="52" xfId="1" applyFont="1" applyFill="1" applyBorder="1"/>
    <xf numFmtId="0" fontId="9" fillId="0" borderId="52" xfId="0" applyFont="1" applyBorder="1"/>
    <xf numFmtId="43" fontId="1" fillId="0" borderId="52" xfId="1" applyFont="1" applyBorder="1"/>
    <xf numFmtId="44" fontId="1" fillId="0" borderId="52" xfId="4" applyFont="1" applyBorder="1"/>
    <xf numFmtId="0" fontId="4" fillId="0" borderId="0" xfId="0" applyFont="1" applyAlignment="1">
      <alignment wrapText="1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7" xfId="0" applyBorder="1"/>
    <xf numFmtId="37" fontId="0" fillId="0" borderId="2" xfId="0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54" xfId="0" applyBorder="1"/>
    <xf numFmtId="43" fontId="0" fillId="0" borderId="0" xfId="1" applyFont="1" applyBorder="1"/>
    <xf numFmtId="165" fontId="7" fillId="0" borderId="52" xfId="4" applyNumberFormat="1" applyFont="1" applyFill="1" applyBorder="1"/>
    <xf numFmtId="165" fontId="7" fillId="4" borderId="52" xfId="4" applyNumberFormat="1" applyFont="1" applyFill="1" applyBorder="1"/>
    <xf numFmtId="165" fontId="0" fillId="0" borderId="52" xfId="4" applyNumberFormat="1" applyFont="1" applyBorder="1"/>
    <xf numFmtId="165" fontId="3" fillId="0" borderId="52" xfId="4" applyNumberFormat="1" applyFont="1" applyBorder="1"/>
    <xf numFmtId="165" fontId="4" fillId="2" borderId="0" xfId="0" applyNumberFormat="1" applyFont="1" applyFill="1" applyAlignment="1">
      <alignment horizontal="center"/>
    </xf>
    <xf numFmtId="165" fontId="0" fillId="0" borderId="52" xfId="0" applyNumberFormat="1" applyBorder="1"/>
    <xf numFmtId="165" fontId="0" fillId="0" borderId="8" xfId="4" applyNumberFormat="1" applyFont="1" applyBorder="1"/>
    <xf numFmtId="165" fontId="7" fillId="4" borderId="52" xfId="4" applyNumberFormat="1" applyFont="1" applyFill="1" applyBorder="1" applyAlignment="1">
      <alignment horizontal="left"/>
    </xf>
    <xf numFmtId="165" fontId="1" fillId="0" borderId="52" xfId="4" applyNumberFormat="1" applyFont="1" applyBorder="1"/>
    <xf numFmtId="165" fontId="0" fillId="0" borderId="0" xfId="4" applyNumberFormat="1" applyFont="1" applyBorder="1"/>
    <xf numFmtId="165" fontId="0" fillId="0" borderId="9" xfId="4" applyNumberFormat="1" applyFont="1" applyBorder="1"/>
    <xf numFmtId="165" fontId="4" fillId="2" borderId="4" xfId="0" applyNumberFormat="1" applyFont="1" applyFill="1" applyBorder="1" applyAlignment="1">
      <alignment horizontal="center"/>
    </xf>
    <xf numFmtId="0" fontId="0" fillId="0" borderId="15" xfId="0" applyBorder="1"/>
    <xf numFmtId="164" fontId="0" fillId="0" borderId="56" xfId="1" applyNumberFormat="1" applyFont="1" applyBorder="1"/>
    <xf numFmtId="44" fontId="7" fillId="0" borderId="8" xfId="11" quotePrefix="1" applyFont="1" applyFill="1" applyBorder="1" applyAlignment="1" applyProtection="1">
      <alignment horizontal="right" indent="1"/>
      <protection locked="0"/>
    </xf>
    <xf numFmtId="43" fontId="0" fillId="0" borderId="57" xfId="1" applyFont="1" applyBorder="1"/>
    <xf numFmtId="0" fontId="0" fillId="0" borderId="57" xfId="0" applyBorder="1"/>
    <xf numFmtId="44" fontId="0" fillId="0" borderId="57" xfId="4" applyFont="1" applyBorder="1"/>
    <xf numFmtId="43" fontId="1" fillId="0" borderId="8" xfId="1" applyFont="1" applyBorder="1"/>
    <xf numFmtId="44" fontId="1" fillId="0" borderId="8" xfId="4" applyFont="1" applyBorder="1"/>
    <xf numFmtId="44" fontId="7" fillId="0" borderId="8" xfId="11" quotePrefix="1" applyFont="1" applyFill="1" applyBorder="1" applyAlignment="1" applyProtection="1">
      <alignment horizontal="left" vertical="top" indent="1"/>
      <protection locked="0"/>
    </xf>
    <xf numFmtId="0" fontId="0" fillId="0" borderId="59" xfId="0" applyBorder="1"/>
    <xf numFmtId="164" fontId="0" fillId="0" borderId="3" xfId="1" applyNumberFormat="1" applyFont="1" applyBorder="1"/>
    <xf numFmtId="0" fontId="0" fillId="0" borderId="53" xfId="0" applyBorder="1"/>
    <xf numFmtId="0" fontId="0" fillId="2" borderId="22" xfId="0" applyFill="1" applyBorder="1"/>
    <xf numFmtId="0" fontId="0" fillId="2" borderId="6" xfId="0" applyFill="1" applyBorder="1"/>
    <xf numFmtId="0" fontId="0" fillId="0" borderId="55" xfId="0" applyBorder="1"/>
    <xf numFmtId="0" fontId="0" fillId="0" borderId="1" xfId="0" applyBorder="1"/>
    <xf numFmtId="0" fontId="0" fillId="0" borderId="60" xfId="0" applyBorder="1"/>
    <xf numFmtId="164" fontId="0" fillId="0" borderId="60" xfId="1" applyNumberFormat="1" applyFont="1" applyBorder="1"/>
    <xf numFmtId="164" fontId="1" fillId="0" borderId="60" xfId="1" applyNumberFormat="1" applyFont="1" applyBorder="1"/>
    <xf numFmtId="164" fontId="1" fillId="0" borderId="53" xfId="1" applyNumberFormat="1" applyFont="1" applyBorder="1"/>
    <xf numFmtId="164" fontId="0" fillId="0" borderId="26" xfId="1" applyNumberFormat="1" applyFont="1" applyBorder="1"/>
    <xf numFmtId="164" fontId="0" fillId="0" borderId="53" xfId="1" applyNumberFormat="1" applyFont="1" applyBorder="1"/>
    <xf numFmtId="164" fontId="0" fillId="0" borderId="60" xfId="1" applyNumberFormat="1" applyFont="1" applyFill="1" applyBorder="1"/>
    <xf numFmtId="164" fontId="0" fillId="0" borderId="63" xfId="1" applyNumberFormat="1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5" fillId="0" borderId="67" xfId="0" applyFont="1" applyBorder="1"/>
    <xf numFmtId="0" fontId="0" fillId="0" borderId="67" xfId="0" applyBorder="1" applyAlignment="1">
      <alignment wrapText="1"/>
    </xf>
    <xf numFmtId="0" fontId="3" fillId="0" borderId="67" xfId="0" applyFont="1" applyBorder="1"/>
    <xf numFmtId="0" fontId="15" fillId="0" borderId="67" xfId="0" applyFont="1" applyBorder="1" applyAlignment="1">
      <alignment wrapText="1"/>
    </xf>
    <xf numFmtId="0" fontId="7" fillId="0" borderId="67" xfId="0" applyFont="1" applyBorder="1" applyAlignment="1">
      <alignment wrapText="1"/>
    </xf>
    <xf numFmtId="0" fontId="8" fillId="0" borderId="67" xfId="0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11" fillId="0" borderId="67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38" fillId="0" borderId="21" xfId="9" applyFont="1" applyBorder="1" applyAlignment="1" applyProtection="1">
      <alignment horizontal="left" vertical="top" wrapText="1"/>
      <protection locked="0"/>
    </xf>
    <xf numFmtId="0" fontId="39" fillId="0" borderId="12" xfId="9" applyFont="1" applyBorder="1" applyAlignment="1" applyProtection="1">
      <alignment horizontal="left" vertical="top" wrapText="1"/>
      <protection locked="0"/>
    </xf>
    <xf numFmtId="0" fontId="0" fillId="0" borderId="67" xfId="0" applyBorder="1" applyAlignment="1">
      <alignment horizontal="left" wrapText="1" indent="1"/>
    </xf>
    <xf numFmtId="164" fontId="7" fillId="0" borderId="21" xfId="10" applyNumberFormat="1" applyFont="1" applyFill="1" applyBorder="1" applyAlignment="1" applyProtection="1">
      <alignment vertical="top"/>
      <protection locked="0"/>
    </xf>
    <xf numFmtId="164" fontId="8" fillId="0" borderId="21" xfId="10" quotePrefix="1" applyNumberFormat="1" applyFont="1" applyFill="1" applyBorder="1" applyAlignment="1" applyProtection="1">
      <alignment vertical="top"/>
      <protection locked="0"/>
    </xf>
    <xf numFmtId="0" fontId="7" fillId="0" borderId="21" xfId="9" applyFont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wrapText="1"/>
    </xf>
    <xf numFmtId="0" fontId="7" fillId="0" borderId="67" xfId="0" applyFont="1" applyBorder="1"/>
    <xf numFmtId="0" fontId="4" fillId="0" borderId="21" xfId="0" applyFont="1" applyBorder="1"/>
    <xf numFmtId="0" fontId="0" fillId="0" borderId="21" xfId="0" applyBorder="1" applyAlignment="1">
      <alignment horizontal="left" wrapText="1" indent="1"/>
    </xf>
    <xf numFmtId="0" fontId="5" fillId="0" borderId="67" xfId="0" applyFont="1" applyBorder="1" applyAlignment="1">
      <alignment wrapText="1"/>
    </xf>
    <xf numFmtId="0" fontId="13" fillId="0" borderId="67" xfId="2" applyFont="1" applyBorder="1" applyAlignment="1">
      <alignment wrapText="1"/>
    </xf>
    <xf numFmtId="0" fontId="12" fillId="0" borderId="67" xfId="2" applyFont="1" applyBorder="1" applyAlignment="1">
      <alignment wrapText="1"/>
    </xf>
    <xf numFmtId="0" fontId="13" fillId="0" borderId="21" xfId="2" applyFont="1" applyBorder="1" applyAlignment="1">
      <alignment wrapText="1"/>
    </xf>
    <xf numFmtId="0" fontId="12" fillId="0" borderId="21" xfId="2" applyFont="1" applyBorder="1" applyAlignment="1">
      <alignment wrapText="1"/>
    </xf>
    <xf numFmtId="0" fontId="12" fillId="0" borderId="67" xfId="2" applyFont="1" applyBorder="1" applyAlignment="1">
      <alignment horizontal="left" wrapText="1"/>
    </xf>
    <xf numFmtId="0" fontId="38" fillId="0" borderId="21" xfId="2" applyFont="1" applyBorder="1" applyAlignment="1">
      <alignment wrapText="1"/>
    </xf>
    <xf numFmtId="0" fontId="8" fillId="0" borderId="67" xfId="0" applyFont="1" applyBorder="1"/>
    <xf numFmtId="0" fontId="8" fillId="0" borderId="21" xfId="0" applyFont="1" applyBorder="1"/>
    <xf numFmtId="0" fontId="7" fillId="0" borderId="21" xfId="0" applyFont="1" applyBorder="1" applyAlignment="1">
      <alignment wrapText="1"/>
    </xf>
    <xf numFmtId="0" fontId="10" fillId="0" borderId="67" xfId="0" applyFont="1" applyBorder="1"/>
    <xf numFmtId="0" fontId="4" fillId="0" borderId="21" xfId="0" applyFont="1" applyBorder="1" applyAlignment="1">
      <alignment wrapText="1"/>
    </xf>
    <xf numFmtId="0" fontId="42" fillId="0" borderId="21" xfId="0" applyFont="1" applyBorder="1"/>
    <xf numFmtId="0" fontId="7" fillId="0" borderId="21" xfId="0" applyFont="1" applyBorder="1"/>
    <xf numFmtId="0" fontId="8" fillId="0" borderId="21" xfId="0" applyFont="1" applyBorder="1" applyAlignment="1">
      <alignment wrapText="1"/>
    </xf>
    <xf numFmtId="0" fontId="5" fillId="0" borderId="21" xfId="0" applyFont="1" applyBorder="1"/>
    <xf numFmtId="0" fontId="0" fillId="2" borderId="20" xfId="0" applyFill="1" applyBorder="1"/>
    <xf numFmtId="164" fontId="0" fillId="0" borderId="61" xfId="1" applyNumberFormat="1" applyFont="1" applyBorder="1"/>
    <xf numFmtId="165" fontId="0" fillId="0" borderId="70" xfId="4" applyNumberFormat="1" applyFont="1" applyBorder="1"/>
    <xf numFmtId="0" fontId="0" fillId="0" borderId="71" xfId="0" applyBorder="1"/>
    <xf numFmtId="0" fontId="0" fillId="0" borderId="72" xfId="0" applyBorder="1"/>
    <xf numFmtId="43" fontId="0" fillId="0" borderId="67" xfId="1" applyFont="1" applyBorder="1"/>
    <xf numFmtId="0" fontId="0" fillId="0" borderId="73" xfId="0" applyBorder="1"/>
    <xf numFmtId="0" fontId="0" fillId="0" borderId="58" xfId="0" applyBorder="1"/>
    <xf numFmtId="164" fontId="0" fillId="0" borderId="62" xfId="1" applyNumberFormat="1" applyFont="1" applyBorder="1"/>
    <xf numFmtId="0" fontId="0" fillId="0" borderId="0" xfId="0" applyAlignment="1">
      <alignment wrapText="1"/>
    </xf>
    <xf numFmtId="1" fontId="0" fillId="0" borderId="52" xfId="0" applyNumberFormat="1" applyBorder="1"/>
    <xf numFmtId="1" fontId="0" fillId="0" borderId="52" xfId="0" applyNumberFormat="1" applyBorder="1" applyAlignment="1">
      <alignment horizontal="right"/>
    </xf>
    <xf numFmtId="165" fontId="0" fillId="0" borderId="8" xfId="4" applyNumberFormat="1" applyFont="1" applyFill="1" applyBorder="1"/>
    <xf numFmtId="14" fontId="0" fillId="0" borderId="3" xfId="0" applyNumberFormat="1" applyBorder="1" applyAlignment="1">
      <alignment horizontal="left"/>
    </xf>
    <xf numFmtId="0" fontId="0" fillId="0" borderId="26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12" xfId="0" applyBorder="1"/>
    <xf numFmtId="0" fontId="0" fillId="5" borderId="22" xfId="0" applyFill="1" applyBorder="1"/>
    <xf numFmtId="0" fontId="0" fillId="5" borderId="2" xfId="0" applyFill="1" applyBorder="1"/>
    <xf numFmtId="0" fontId="0" fillId="5" borderId="17" xfId="0" applyFill="1" applyBorder="1"/>
    <xf numFmtId="0" fontId="0" fillId="5" borderId="0" xfId="0" applyFill="1"/>
    <xf numFmtId="0" fontId="14" fillId="5" borderId="0" xfId="0" applyFont="1" applyFill="1"/>
    <xf numFmtId="0" fontId="0" fillId="5" borderId="0" xfId="0" applyFill="1" applyAlignment="1">
      <alignment horizontal="left" indent="4"/>
    </xf>
    <xf numFmtId="0" fontId="0" fillId="5" borderId="0" xfId="0" applyFill="1" applyAlignment="1">
      <alignment horizontal="left" indent="2"/>
    </xf>
    <xf numFmtId="14" fontId="0" fillId="5" borderId="0" xfId="0" applyNumberFormat="1" applyFill="1" applyAlignment="1">
      <alignment horizontal="left"/>
    </xf>
    <xf numFmtId="0" fontId="0" fillId="5" borderId="0" xfId="0" applyFill="1" applyAlignment="1">
      <alignment horizontal="right"/>
    </xf>
    <xf numFmtId="37" fontId="0" fillId="5" borderId="0" xfId="0" applyNumberFormat="1" applyFill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0" fillId="0" borderId="64" xfId="0" applyBorder="1"/>
    <xf numFmtId="0" fontId="4" fillId="2" borderId="17" xfId="0" applyFont="1" applyFill="1" applyBorder="1" applyAlignment="1">
      <alignment horizontal="center"/>
    </xf>
    <xf numFmtId="0" fontId="0" fillId="0" borderId="14" xfId="0" applyBorder="1"/>
    <xf numFmtId="0" fontId="0" fillId="0" borderId="79" xfId="0" applyBorder="1"/>
    <xf numFmtId="0" fontId="0" fillId="0" borderId="80" xfId="0" applyBorder="1"/>
    <xf numFmtId="0" fontId="4" fillId="2" borderId="24" xfId="0" applyFont="1" applyFill="1" applyBorder="1" applyAlignment="1">
      <alignment horizontal="center"/>
    </xf>
    <xf numFmtId="0" fontId="0" fillId="0" borderId="19" xfId="0" applyBorder="1"/>
    <xf numFmtId="0" fontId="0" fillId="2" borderId="15" xfId="0" applyFill="1" applyBorder="1"/>
    <xf numFmtId="37" fontId="22" fillId="0" borderId="81" xfId="6" applyFont="1" applyBorder="1" applyAlignment="1">
      <alignment horizontal="center"/>
    </xf>
    <xf numFmtId="0" fontId="23" fillId="0" borderId="82" xfId="5" applyFont="1" applyBorder="1" applyAlignment="1">
      <alignment horizontal="right"/>
    </xf>
    <xf numFmtId="0" fontId="23" fillId="0" borderId="84" xfId="5" applyFont="1" applyBorder="1" applyAlignment="1">
      <alignment horizontal="right"/>
    </xf>
    <xf numFmtId="0" fontId="3" fillId="0" borderId="85" xfId="5" applyBorder="1"/>
    <xf numFmtId="0" fontId="19" fillId="0" borderId="82" xfId="5" applyFont="1" applyBorder="1" applyAlignment="1">
      <alignment horizontal="right"/>
    </xf>
    <xf numFmtId="0" fontId="3" fillId="0" borderId="82" xfId="5" applyBorder="1"/>
    <xf numFmtId="0" fontId="3" fillId="4" borderId="82" xfId="5" applyFill="1" applyBorder="1"/>
    <xf numFmtId="0" fontId="17" fillId="0" borderId="83" xfId="5" applyFont="1" applyBorder="1"/>
    <xf numFmtId="0" fontId="4" fillId="6" borderId="67" xfId="0" applyFont="1" applyFill="1" applyBorder="1" applyAlignment="1">
      <alignment wrapText="1"/>
    </xf>
    <xf numFmtId="0" fontId="0" fillId="6" borderId="52" xfId="0" applyFill="1" applyBorder="1"/>
    <xf numFmtId="0" fontId="0" fillId="6" borderId="0" xfId="0" applyFill="1"/>
    <xf numFmtId="0" fontId="5" fillId="6" borderId="67" xfId="0" applyFont="1" applyFill="1" applyBorder="1" applyAlignment="1">
      <alignment wrapText="1"/>
    </xf>
    <xf numFmtId="0" fontId="5" fillId="6" borderId="67" xfId="0" applyFont="1" applyFill="1" applyBorder="1"/>
    <xf numFmtId="0" fontId="5" fillId="0" borderId="86" xfId="0" applyFont="1" applyBorder="1" applyAlignment="1">
      <alignment wrapText="1"/>
    </xf>
    <xf numFmtId="0" fontId="5" fillId="6" borderId="21" xfId="0" applyFont="1" applyFill="1" applyBorder="1"/>
    <xf numFmtId="0" fontId="40" fillId="6" borderId="0" xfId="9" applyFont="1" applyFill="1"/>
    <xf numFmtId="43" fontId="0" fillId="0" borderId="87" xfId="1" applyFont="1" applyBorder="1"/>
    <xf numFmtId="165" fontId="0" fillId="0" borderId="67" xfId="4" applyNumberFormat="1" applyFont="1" applyBorder="1"/>
    <xf numFmtId="0" fontId="0" fillId="0" borderId="88" xfId="0" applyBorder="1" applyAlignment="1">
      <alignment wrapText="1"/>
    </xf>
    <xf numFmtId="0" fontId="0" fillId="0" borderId="25" xfId="0" applyBorder="1"/>
    <xf numFmtId="0" fontId="3" fillId="0" borderId="67" xfId="0" applyFont="1" applyBorder="1" applyAlignment="1">
      <alignment wrapText="1"/>
    </xf>
    <xf numFmtId="164" fontId="4" fillId="0" borderId="0" xfId="0" applyNumberFormat="1" applyFont="1"/>
    <xf numFmtId="168" fontId="7" fillId="0" borderId="52" xfId="0" applyNumberFormat="1" applyFont="1" applyBorder="1"/>
    <xf numFmtId="0" fontId="20" fillId="0" borderId="0" xfId="5" applyFont="1" applyAlignment="1">
      <alignment horizontal="center"/>
    </xf>
    <xf numFmtId="0" fontId="0" fillId="0" borderId="68" xfId="0" applyBorder="1" applyAlignment="1">
      <alignment wrapText="1"/>
    </xf>
    <xf numFmtId="0" fontId="34" fillId="6" borderId="67" xfId="2" applyFont="1" applyFill="1" applyBorder="1" applyAlignment="1">
      <alignment wrapText="1"/>
    </xf>
    <xf numFmtId="0" fontId="34" fillId="6" borderId="21" xfId="2" applyFont="1" applyFill="1" applyBorder="1" applyAlignment="1">
      <alignment wrapText="1"/>
    </xf>
    <xf numFmtId="0" fontId="35" fillId="6" borderId="67" xfId="0" applyFont="1" applyFill="1" applyBorder="1"/>
    <xf numFmtId="165" fontId="0" fillId="0" borderId="56" xfId="4" applyNumberFormat="1" applyFont="1" applyBorder="1"/>
    <xf numFmtId="0" fontId="13" fillId="6" borderId="67" xfId="2" applyFont="1" applyFill="1" applyBorder="1" applyAlignment="1">
      <alignment wrapText="1"/>
    </xf>
    <xf numFmtId="1" fontId="7" fillId="0" borderId="52" xfId="0" applyNumberFormat="1" applyFont="1" applyBorder="1"/>
    <xf numFmtId="14" fontId="17" fillId="4" borderId="34" xfId="5" applyNumberFormat="1" applyFont="1" applyFill="1" applyBorder="1"/>
    <xf numFmtId="0" fontId="44" fillId="0" borderId="0" xfId="5" applyFont="1" applyAlignment="1">
      <alignment horizontal="center"/>
    </xf>
    <xf numFmtId="0" fontId="22" fillId="0" borderId="0" xfId="5" applyFont="1" applyAlignment="1">
      <alignment horizontal="center"/>
    </xf>
    <xf numFmtId="0" fontId="22" fillId="0" borderId="36" xfId="5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0" xfId="0" applyFont="1" applyAlignment="1">
      <alignment horizontal="center"/>
    </xf>
    <xf numFmtId="37" fontId="22" fillId="0" borderId="0" xfId="6" applyFont="1" applyBorder="1" applyAlignment="1">
      <alignment horizontal="left" vertical="top" wrapText="1"/>
    </xf>
    <xf numFmtId="0" fontId="3" fillId="0" borderId="0" xfId="5" applyAlignment="1">
      <alignment horizontal="left"/>
    </xf>
    <xf numFmtId="0" fontId="2" fillId="0" borderId="0" xfId="5" applyFont="1" applyAlignment="1">
      <alignment horizontal="left"/>
    </xf>
    <xf numFmtId="0" fontId="46" fillId="0" borderId="0" xfId="0" applyFont="1" applyAlignment="1" applyProtection="1">
      <alignment horizontal="left" vertical="top" wrapText="1" indent="1"/>
      <protection locked="0"/>
    </xf>
    <xf numFmtId="37" fontId="22" fillId="0" borderId="22" xfId="6" applyFont="1" applyBorder="1" applyAlignment="1">
      <alignment horizontal="left" vertical="top" wrapText="1" indent="1"/>
    </xf>
    <xf numFmtId="37" fontId="22" fillId="0" borderId="2" xfId="6" applyFont="1" applyBorder="1" applyAlignment="1">
      <alignment horizontal="left" vertical="top" wrapText="1"/>
    </xf>
    <xf numFmtId="37" fontId="22" fillId="0" borderId="23" xfId="6" applyFont="1" applyBorder="1" applyAlignment="1">
      <alignment horizontal="left" vertical="top" wrapText="1"/>
    </xf>
    <xf numFmtId="37" fontId="22" fillId="0" borderId="17" xfId="6" applyFont="1" applyBorder="1" applyAlignment="1">
      <alignment horizontal="left" vertical="top" wrapText="1" indent="1"/>
    </xf>
    <xf numFmtId="37" fontId="22" fillId="0" borderId="20" xfId="6" applyFont="1" applyBorder="1" applyAlignment="1">
      <alignment horizontal="left" vertical="top" wrapText="1"/>
    </xf>
    <xf numFmtId="0" fontId="22" fillId="0" borderId="17" xfId="0" applyFont="1" applyBorder="1" applyAlignment="1" applyProtection="1">
      <alignment horizontal="left" vertical="top" wrapText="1" indent="1"/>
      <protection locked="0"/>
    </xf>
    <xf numFmtId="0" fontId="46" fillId="0" borderId="20" xfId="0" applyFont="1" applyBorder="1" applyAlignment="1" applyProtection="1">
      <alignment horizontal="left" vertical="top" wrapText="1" indent="1"/>
      <protection locked="0"/>
    </xf>
    <xf numFmtId="37" fontId="27" fillId="0" borderId="6" xfId="6" applyFont="1" applyBorder="1"/>
    <xf numFmtId="0" fontId="17" fillId="0" borderId="7" xfId="5" applyFont="1" applyBorder="1"/>
    <xf numFmtId="0" fontId="10" fillId="0" borderId="82" xfId="5" applyFont="1" applyBorder="1" applyAlignment="1">
      <alignment horizontal="right"/>
    </xf>
    <xf numFmtId="164" fontId="4" fillId="0" borderId="66" xfId="0" applyNumberFormat="1" applyFont="1" applyBorder="1"/>
    <xf numFmtId="0" fontId="0" fillId="0" borderId="52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/>
    <xf numFmtId="37" fontId="27" fillId="0" borderId="42" xfId="6" applyFont="1" applyBorder="1" applyAlignment="1">
      <alignment horizontal="center"/>
    </xf>
    <xf numFmtId="43" fontId="0" fillId="0" borderId="52" xfId="0" applyNumberFormat="1" applyBorder="1"/>
    <xf numFmtId="0" fontId="4" fillId="0" borderId="0" xfId="0" applyFont="1"/>
    <xf numFmtId="0" fontId="3" fillId="0" borderId="0" xfId="0" applyFont="1"/>
    <xf numFmtId="37" fontId="22" fillId="0" borderId="1" xfId="6" applyFont="1" applyBorder="1" applyAlignment="1">
      <alignment horizontal="left"/>
    </xf>
    <xf numFmtId="37" fontId="28" fillId="0" borderId="1" xfId="7" applyBorder="1" applyAlignment="1">
      <alignment wrapText="1"/>
    </xf>
    <xf numFmtId="0" fontId="12" fillId="0" borderId="0" xfId="2" applyFont="1" applyAlignment="1">
      <alignment horizontal="left" wrapText="1" indent="1"/>
    </xf>
    <xf numFmtId="44" fontId="7" fillId="0" borderId="0" xfId="11" quotePrefix="1" applyFont="1" applyFill="1" applyBorder="1" applyAlignment="1" applyProtection="1">
      <alignment horizontal="left" vertical="top" indent="1"/>
      <protection locked="0"/>
    </xf>
    <xf numFmtId="0" fontId="39" fillId="0" borderId="15" xfId="9" applyFont="1" applyBorder="1" applyAlignment="1" applyProtection="1">
      <alignment horizontal="left" vertical="top" wrapText="1"/>
      <protection locked="0"/>
    </xf>
    <xf numFmtId="164" fontId="7" fillId="0" borderId="0" xfId="10" applyNumberFormat="1" applyFont="1" applyFill="1" applyBorder="1" applyAlignment="1" applyProtection="1">
      <alignment vertical="top"/>
      <protection locked="0"/>
    </xf>
    <xf numFmtId="0" fontId="0" fillId="0" borderId="69" xfId="0" applyBorder="1" applyAlignment="1">
      <alignment wrapText="1"/>
    </xf>
    <xf numFmtId="164" fontId="4" fillId="0" borderId="15" xfId="0" applyNumberFormat="1" applyFont="1" applyBorder="1"/>
    <xf numFmtId="0" fontId="4" fillId="0" borderId="67" xfId="0" applyFont="1" applyBorder="1" applyAlignment="1">
      <alignment horizontal="center" wrapText="1"/>
    </xf>
    <xf numFmtId="44" fontId="0" fillId="0" borderId="0" xfId="4" applyFont="1" applyBorder="1"/>
    <xf numFmtId="164" fontId="8" fillId="0" borderId="0" xfId="10" quotePrefix="1" applyNumberFormat="1" applyFont="1" applyFill="1" applyBorder="1" applyAlignment="1" applyProtection="1">
      <alignment vertical="top"/>
      <protection locked="0"/>
    </xf>
    <xf numFmtId="0" fontId="7" fillId="0" borderId="67" xfId="0" applyFont="1" applyBorder="1" applyAlignment="1">
      <alignment horizontal="left" indent="1"/>
    </xf>
    <xf numFmtId="164" fontId="7" fillId="0" borderId="21" xfId="10" applyNumberFormat="1" applyFont="1" applyFill="1" applyBorder="1" applyAlignment="1" applyProtection="1">
      <alignment horizontal="left" vertical="top"/>
      <protection locked="0"/>
    </xf>
    <xf numFmtId="164" fontId="7" fillId="0" borderId="21" xfId="10" quotePrefix="1" applyNumberFormat="1" applyFont="1" applyFill="1" applyBorder="1" applyAlignment="1" applyProtection="1">
      <alignment horizontal="left" vertical="top"/>
      <protection locked="0"/>
    </xf>
    <xf numFmtId="44" fontId="0" fillId="0" borderId="0" xfId="0" applyNumberFormat="1"/>
    <xf numFmtId="0" fontId="9" fillId="0" borderId="0" xfId="0" applyFont="1"/>
    <xf numFmtId="44" fontId="9" fillId="0" borderId="0" xfId="0" applyNumberFormat="1" applyFont="1"/>
    <xf numFmtId="0" fontId="9" fillId="0" borderId="0" xfId="0" applyFont="1" applyAlignment="1">
      <alignment horizontal="right"/>
    </xf>
    <xf numFmtId="44" fontId="22" fillId="0" borderId="32" xfId="4" applyFont="1" applyBorder="1" applyAlignment="1">
      <alignment horizontal="center"/>
    </xf>
    <xf numFmtId="167" fontId="22" fillId="0" borderId="1" xfId="6" applyNumberFormat="1" applyFont="1" applyBorder="1" applyAlignment="1">
      <alignment horizontal="right"/>
    </xf>
    <xf numFmtId="37" fontId="27" fillId="0" borderId="85" xfId="6" applyFont="1" applyBorder="1" applyAlignment="1">
      <alignment horizontal="center"/>
    </xf>
    <xf numFmtId="0" fontId="3" fillId="0" borderId="32" xfId="5" applyBorder="1"/>
    <xf numFmtId="0" fontId="48" fillId="0" borderId="5" xfId="7" applyNumberFormat="1" applyFont="1" applyBorder="1"/>
    <xf numFmtId="165" fontId="27" fillId="0" borderId="32" xfId="4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4" fillId="2" borderId="2" xfId="1" applyNumberFormat="1" applyFont="1" applyFill="1" applyBorder="1"/>
    <xf numFmtId="164" fontId="4" fillId="0" borderId="0" xfId="1" applyNumberFormat="1" applyFont="1" applyBorder="1"/>
    <xf numFmtId="165" fontId="9" fillId="0" borderId="0" xfId="0" applyNumberFormat="1" applyFont="1"/>
    <xf numFmtId="0" fontId="0" fillId="0" borderId="52" xfId="0" applyBorder="1" applyAlignment="1">
      <alignment horizontal="right"/>
    </xf>
    <xf numFmtId="0" fontId="37" fillId="5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0" fillId="3" borderId="67" xfId="0" applyFill="1" applyBorder="1" applyAlignment="1">
      <alignment wrapText="1"/>
    </xf>
    <xf numFmtId="0" fontId="40" fillId="0" borderId="0" xfId="9" applyFont="1"/>
    <xf numFmtId="0" fontId="9" fillId="3" borderId="67" xfId="0" applyFont="1" applyFill="1" applyBorder="1" applyAlignment="1">
      <alignment wrapText="1"/>
    </xf>
    <xf numFmtId="0" fontId="0" fillId="0" borderId="56" xfId="0" applyBorder="1"/>
    <xf numFmtId="165" fontId="7" fillId="0" borderId="56" xfId="4" applyNumberFormat="1" applyFont="1" applyFill="1" applyBorder="1"/>
    <xf numFmtId="165" fontId="3" fillId="0" borderId="56" xfId="4" applyNumberFormat="1" applyFont="1" applyBorder="1"/>
    <xf numFmtId="44" fontId="0" fillId="0" borderId="56" xfId="4" applyFont="1" applyBorder="1"/>
    <xf numFmtId="165" fontId="7" fillId="4" borderId="56" xfId="4" applyNumberFormat="1" applyFont="1" applyFill="1" applyBorder="1"/>
    <xf numFmtId="165" fontId="0" fillId="0" borderId="56" xfId="0" applyNumberFormat="1" applyBorder="1"/>
    <xf numFmtId="44" fontId="7" fillId="0" borderId="87" xfId="11" quotePrefix="1" applyFont="1" applyFill="1" applyBorder="1" applyAlignment="1" applyProtection="1">
      <alignment horizontal="right" indent="1"/>
      <protection locked="0"/>
    </xf>
    <xf numFmtId="44" fontId="1" fillId="0" borderId="0" xfId="4" applyFont="1" applyBorder="1"/>
    <xf numFmtId="44" fontId="1" fillId="0" borderId="87" xfId="4" applyFont="1" applyBorder="1"/>
    <xf numFmtId="0" fontId="0" fillId="0" borderId="89" xfId="0" applyBorder="1"/>
    <xf numFmtId="0" fontId="0" fillId="0" borderId="87" xfId="0" applyBorder="1"/>
    <xf numFmtId="44" fontId="0" fillId="0" borderId="87" xfId="4" applyFont="1" applyBorder="1"/>
    <xf numFmtId="165" fontId="0" fillId="0" borderId="90" xfId="4" applyNumberFormat="1" applyFont="1" applyBorder="1"/>
    <xf numFmtId="44" fontId="0" fillId="0" borderId="74" xfId="4" applyFont="1" applyBorder="1"/>
    <xf numFmtId="165" fontId="0" fillId="0" borderId="87" xfId="4" applyNumberFormat="1" applyFont="1" applyBorder="1"/>
    <xf numFmtId="165" fontId="1" fillId="0" borderId="56" xfId="4" applyNumberFormat="1" applyFont="1" applyBorder="1"/>
    <xf numFmtId="44" fontId="1" fillId="0" borderId="56" xfId="4" applyFont="1" applyBorder="1"/>
    <xf numFmtId="165" fontId="0" fillId="0" borderId="74" xfId="4" applyNumberFormat="1" applyFont="1" applyBorder="1"/>
    <xf numFmtId="165" fontId="0" fillId="0" borderId="87" xfId="4" applyNumberFormat="1" applyFont="1" applyFill="1" applyBorder="1"/>
    <xf numFmtId="43" fontId="0" fillId="0" borderId="0" xfId="1" applyFont="1" applyFill="1" applyBorder="1"/>
    <xf numFmtId="165" fontId="0" fillId="0" borderId="0" xfId="4" applyNumberFormat="1" applyFont="1" applyFill="1" applyBorder="1"/>
    <xf numFmtId="0" fontId="43" fillId="0" borderId="0" xfId="2" applyFont="1" applyAlignment="1">
      <alignment wrapText="1"/>
    </xf>
    <xf numFmtId="164" fontId="0" fillId="0" borderId="52" xfId="0" applyNumberFormat="1" applyBorder="1" applyAlignment="1">
      <alignment horizontal="left" indent="2"/>
    </xf>
    <xf numFmtId="0" fontId="0" fillId="3" borderId="64" xfId="0" applyFill="1" applyBorder="1"/>
    <xf numFmtId="43" fontId="0" fillId="3" borderId="52" xfId="1" applyFont="1" applyFill="1" applyBorder="1"/>
    <xf numFmtId="0" fontId="7" fillId="3" borderId="52" xfId="0" applyFont="1" applyFill="1" applyBorder="1"/>
    <xf numFmtId="165" fontId="7" fillId="3" borderId="52" xfId="4" applyNumberFormat="1" applyFont="1" applyFill="1" applyBorder="1"/>
    <xf numFmtId="165" fontId="7" fillId="3" borderId="56" xfId="4" applyNumberFormat="1" applyFont="1" applyFill="1" applyBorder="1"/>
    <xf numFmtId="164" fontId="1" fillId="3" borderId="60" xfId="1" applyNumberFormat="1" applyFont="1" applyFill="1" applyBorder="1"/>
    <xf numFmtId="0" fontId="0" fillId="3" borderId="0" xfId="0" applyFill="1"/>
    <xf numFmtId="1" fontId="7" fillId="3" borderId="52" xfId="0" applyNumberFormat="1" applyFont="1" applyFill="1" applyBorder="1"/>
    <xf numFmtId="0" fontId="3" fillId="3" borderId="67" xfId="0" applyFont="1" applyFill="1" applyBorder="1"/>
    <xf numFmtId="0" fontId="3" fillId="3" borderId="52" xfId="0" applyFont="1" applyFill="1" applyBorder="1"/>
    <xf numFmtId="0" fontId="15" fillId="3" borderId="67" xfId="0" applyFont="1" applyFill="1" applyBorder="1" applyAlignment="1">
      <alignment wrapText="1"/>
    </xf>
    <xf numFmtId="165" fontId="3" fillId="3" borderId="52" xfId="4" applyNumberFormat="1" applyFont="1" applyFill="1" applyBorder="1"/>
    <xf numFmtId="0" fontId="3" fillId="3" borderId="67" xfId="0" applyFont="1" applyFill="1" applyBorder="1" applyAlignment="1">
      <alignment wrapText="1"/>
    </xf>
    <xf numFmtId="0" fontId="7" fillId="3" borderId="67" xfId="0" applyFont="1" applyFill="1" applyBorder="1" applyAlignment="1">
      <alignment wrapText="1"/>
    </xf>
    <xf numFmtId="0" fontId="0" fillId="3" borderId="15" xfId="0" applyFill="1" applyBorder="1"/>
    <xf numFmtId="0" fontId="0" fillId="3" borderId="20" xfId="0" applyFill="1" applyBorder="1"/>
    <xf numFmtId="164" fontId="4" fillId="3" borderId="0" xfId="1" applyNumberFormat="1" applyFont="1" applyFill="1" applyBorder="1"/>
    <xf numFmtId="0" fontId="33" fillId="6" borderId="67" xfId="0" applyFont="1" applyFill="1" applyBorder="1" applyAlignment="1">
      <alignment wrapText="1"/>
    </xf>
    <xf numFmtId="0" fontId="14" fillId="6" borderId="67" xfId="0" applyFont="1" applyFill="1" applyBorder="1" applyAlignment="1">
      <alignment wrapText="1"/>
    </xf>
    <xf numFmtId="168" fontId="7" fillId="3" borderId="52" xfId="0" applyNumberFormat="1" applyFont="1" applyFill="1" applyBorder="1"/>
    <xf numFmtId="164" fontId="0" fillId="3" borderId="0" xfId="0" applyNumberFormat="1" applyFill="1"/>
    <xf numFmtId="0" fontId="17" fillId="0" borderId="41" xfId="5" applyFont="1" applyBorder="1" applyAlignment="1">
      <alignment horizontal="center"/>
    </xf>
    <xf numFmtId="0" fontId="17" fillId="0" borderId="44" xfId="5" applyFont="1" applyBorder="1" applyAlignment="1">
      <alignment horizontal="center"/>
    </xf>
    <xf numFmtId="0" fontId="17" fillId="0" borderId="30" xfId="5" applyFont="1" applyBorder="1" applyAlignment="1">
      <alignment horizontal="center"/>
    </xf>
    <xf numFmtId="0" fontId="17" fillId="0" borderId="32" xfId="5" applyFont="1" applyBorder="1" applyAlignment="1">
      <alignment horizontal="center"/>
    </xf>
    <xf numFmtId="0" fontId="17" fillId="0" borderId="35" xfId="5" applyFont="1" applyBorder="1" applyAlignment="1">
      <alignment horizontal="center"/>
    </xf>
    <xf numFmtId="0" fontId="24" fillId="0" borderId="40" xfId="5" applyFont="1" applyBorder="1" applyAlignment="1">
      <alignment horizontal="center"/>
    </xf>
    <xf numFmtId="0" fontId="24" fillId="0" borderId="40" xfId="5" applyFont="1" applyBorder="1" applyAlignment="1">
      <alignment horizontal="left" vertical="top"/>
    </xf>
    <xf numFmtId="0" fontId="25" fillId="0" borderId="40" xfId="5" applyFont="1" applyBorder="1" applyAlignment="1">
      <alignment horizontal="center"/>
    </xf>
    <xf numFmtId="0" fontId="24" fillId="0" borderId="40" xfId="5" applyFont="1" applyBorder="1" applyAlignment="1">
      <alignment horizontal="center" vertical="center"/>
    </xf>
    <xf numFmtId="15" fontId="27" fillId="0" borderId="41" xfId="5" applyNumberFormat="1" applyFont="1" applyBorder="1" applyAlignment="1">
      <alignment horizontal="center"/>
    </xf>
    <xf numFmtId="15" fontId="27" fillId="0" borderId="44" xfId="5" applyNumberFormat="1" applyFont="1" applyBorder="1" applyAlignment="1">
      <alignment horizontal="center"/>
    </xf>
    <xf numFmtId="0" fontId="29" fillId="0" borderId="32" xfId="5" applyFont="1" applyBorder="1" applyAlignment="1">
      <alignment horizontal="center" vertical="center"/>
    </xf>
    <xf numFmtId="0" fontId="29" fillId="0" borderId="34" xfId="5" applyFont="1" applyBorder="1" applyAlignment="1">
      <alignment horizontal="center" vertical="center"/>
    </xf>
    <xf numFmtId="0" fontId="31" fillId="0" borderId="22" xfId="5" applyFont="1" applyBorder="1" applyAlignment="1">
      <alignment vertical="top" wrapText="1"/>
    </xf>
    <xf numFmtId="37" fontId="32" fillId="0" borderId="2" xfId="6" applyFont="1" applyBorder="1" applyAlignment="1">
      <alignment vertical="top" wrapText="1"/>
    </xf>
    <xf numFmtId="37" fontId="32" fillId="0" borderId="23" xfId="6" applyFont="1" applyBorder="1" applyAlignment="1">
      <alignment vertical="top" wrapText="1"/>
    </xf>
    <xf numFmtId="37" fontId="32" fillId="0" borderId="17" xfId="6" applyFont="1" applyBorder="1" applyAlignment="1">
      <alignment vertical="top" wrapText="1"/>
    </xf>
    <xf numFmtId="37" fontId="32" fillId="0" borderId="0" xfId="6" applyFont="1" applyAlignment="1">
      <alignment vertical="top" wrapText="1"/>
    </xf>
    <xf numFmtId="37" fontId="32" fillId="0" borderId="20" xfId="6" applyFont="1" applyBorder="1" applyAlignment="1">
      <alignment vertical="top" wrapText="1"/>
    </xf>
    <xf numFmtId="0" fontId="17" fillId="0" borderId="10" xfId="5" applyFont="1" applyBorder="1" applyAlignment="1">
      <alignment horizontal="left" vertical="top"/>
    </xf>
    <xf numFmtId="0" fontId="17" fillId="0" borderId="25" xfId="5" applyFont="1" applyBorder="1" applyAlignment="1">
      <alignment horizontal="left" vertical="top"/>
    </xf>
    <xf numFmtId="0" fontId="17" fillId="0" borderId="49" xfId="5" applyFont="1" applyBorder="1" applyAlignment="1">
      <alignment horizontal="left" vertical="top"/>
    </xf>
    <xf numFmtId="0" fontId="17" fillId="0" borderId="7" xfId="5" applyFont="1" applyBorder="1" applyAlignment="1">
      <alignment horizontal="left" vertical="top"/>
    </xf>
    <xf numFmtId="0" fontId="27" fillId="0" borderId="32" xfId="5" applyFont="1" applyBorder="1" applyAlignment="1">
      <alignment horizontal="center"/>
    </xf>
    <xf numFmtId="0" fontId="27" fillId="0" borderId="34" xfId="5" applyFont="1" applyBorder="1" applyAlignment="1">
      <alignment horizontal="center"/>
    </xf>
    <xf numFmtId="37" fontId="27" fillId="0" borderId="42" xfId="6" applyFont="1" applyBorder="1" applyAlignment="1">
      <alignment horizontal="center"/>
    </xf>
    <xf numFmtId="37" fontId="27" fillId="0" borderId="43" xfId="6" applyFont="1" applyBorder="1" applyAlignment="1">
      <alignment horizontal="center"/>
    </xf>
    <xf numFmtId="37" fontId="22" fillId="0" borderId="41" xfId="6" applyFont="1" applyBorder="1" applyAlignment="1">
      <alignment horizontal="center"/>
    </xf>
    <xf numFmtId="37" fontId="22" fillId="0" borderId="44" xfId="6" applyFont="1" applyBorder="1" applyAlignment="1">
      <alignment horizontal="center"/>
    </xf>
    <xf numFmtId="37" fontId="22" fillId="0" borderId="46" xfId="6" applyFont="1" applyBorder="1" applyAlignment="1">
      <alignment horizontal="left" vertical="top" wrapText="1"/>
    </xf>
    <xf numFmtId="37" fontId="22" fillId="0" borderId="47" xfId="6" applyFont="1" applyBorder="1" applyAlignment="1">
      <alignment horizontal="left" vertical="top" wrapText="1"/>
    </xf>
    <xf numFmtId="37" fontId="22" fillId="0" borderId="48" xfId="6" applyFont="1" applyBorder="1" applyAlignment="1">
      <alignment horizontal="left" vertical="top" wrapText="1"/>
    </xf>
    <xf numFmtId="0" fontId="37" fillId="5" borderId="0" xfId="0" applyFont="1" applyFill="1" applyAlignment="1">
      <alignment horizontal="center"/>
    </xf>
    <xf numFmtId="0" fontId="36" fillId="5" borderId="0" xfId="0" applyFont="1" applyFill="1" applyAlignment="1">
      <alignment horizontal="center"/>
    </xf>
    <xf numFmtId="0" fontId="0" fillId="0" borderId="51" xfId="0" applyBorder="1" applyAlignment="1">
      <alignment horizontal="center"/>
    </xf>
  </cellXfs>
  <cellStyles count="17">
    <cellStyle name="Comma" xfId="1" builtinId="3"/>
    <cellStyle name="Comma 2" xfId="3" xr:uid="{00000000-0005-0000-0000-000001000000}"/>
    <cellStyle name="Comma 2 2" xfId="10" xr:uid="{00000000-0005-0000-0000-000002000000}"/>
    <cellStyle name="Currency" xfId="4" builtinId="4"/>
    <cellStyle name="Currency 2" xfId="15" xr:uid="{00000000-0005-0000-0000-000004000000}"/>
    <cellStyle name="Currency 2 2" xfId="16" xr:uid="{00000000-0005-0000-0000-000005000000}"/>
    <cellStyle name="Currency 3" xfId="11" xr:uid="{00000000-0005-0000-0000-000006000000}"/>
    <cellStyle name="Hyperlink" xfId="7" builtinId="8"/>
    <cellStyle name="Normal" xfId="0" builtinId="0"/>
    <cellStyle name="Normal 2" xfId="2" xr:uid="{00000000-0005-0000-0000-000009000000}"/>
    <cellStyle name="Normal 2 2" xfId="13" xr:uid="{00000000-0005-0000-0000-00000A000000}"/>
    <cellStyle name="Normal 3" xfId="6" xr:uid="{00000000-0005-0000-0000-00000B000000}"/>
    <cellStyle name="Normal 4" xfId="9" xr:uid="{00000000-0005-0000-0000-00000C000000}"/>
    <cellStyle name="Normal 4 2" xfId="12" xr:uid="{00000000-0005-0000-0000-00000D000000}"/>
    <cellStyle name="Normal_RFEFORM" xfId="5" xr:uid="{00000000-0005-0000-0000-00000E000000}"/>
    <cellStyle name="Percent 2" xfId="8" xr:uid="{00000000-0005-0000-0000-00000F000000}"/>
    <cellStyle name="Percent 3" xfId="1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19</xdr:row>
      <xdr:rowOff>123825</xdr:rowOff>
    </xdr:from>
    <xdr:to>
      <xdr:col>6</xdr:col>
      <xdr:colOff>0</xdr:colOff>
      <xdr:row>20</xdr:row>
      <xdr:rowOff>174624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181975" y="4819650"/>
          <a:ext cx="0" cy="29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114300</xdr:rowOff>
    </xdr:from>
    <xdr:to>
      <xdr:col>6</xdr:col>
      <xdr:colOff>0</xdr:colOff>
      <xdr:row>20</xdr:row>
      <xdr:rowOff>79374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181975" y="4810125"/>
          <a:ext cx="0" cy="21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28575</xdr:rowOff>
    </xdr:from>
    <xdr:to>
      <xdr:col>6</xdr:col>
      <xdr:colOff>0</xdr:colOff>
      <xdr:row>21</xdr:row>
      <xdr:rowOff>238125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181975" y="5219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nni/Downloads/4529%20Budget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RFELINK"/>
      <sheetName val="Summary Sheet "/>
      <sheetName val="Notes &amp; Clarifications"/>
      <sheetName val="TYP. Estimate"/>
      <sheetName val="Alternate Prices"/>
      <sheetName val="Bid Comparison "/>
      <sheetName val="General Conditions"/>
      <sheetName val="Scope of Work"/>
      <sheetName val="Bid List "/>
      <sheetName val="Take-off "/>
      <sheetName val="Materials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lamedarchitec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0" tint="-0.14999847407452621"/>
    <pageSetUpPr fitToPage="1"/>
  </sheetPr>
  <dimension ref="A2:J62"/>
  <sheetViews>
    <sheetView showGridLines="0" view="pageBreakPreview" topLeftCell="A24" zoomScaleNormal="100" zoomScaleSheetLayoutView="100" workbookViewId="0">
      <selection activeCell="C28" sqref="C28"/>
    </sheetView>
  </sheetViews>
  <sheetFormatPr defaultColWidth="9.109375" defaultRowHeight="15"/>
  <cols>
    <col min="1" max="1" width="2.44140625" style="35" customWidth="1"/>
    <col min="2" max="2" width="23.5546875" style="35" customWidth="1"/>
    <col min="3" max="3" width="48.33203125" style="36" customWidth="1"/>
    <col min="4" max="4" width="0.109375" style="35" customWidth="1"/>
    <col min="5" max="5" width="13.5546875" style="35" customWidth="1"/>
    <col min="6" max="6" width="21.88671875" style="35" customWidth="1"/>
    <col min="7" max="7" width="3.6640625" style="35" customWidth="1"/>
    <col min="8" max="16384" width="9.109375" style="35"/>
  </cols>
  <sheetData>
    <row r="2" spans="1:6">
      <c r="C2" s="37"/>
    </row>
    <row r="3" spans="1:6" ht="15.6" thickBot="1">
      <c r="C3" s="38"/>
    </row>
    <row r="4" spans="1:6" ht="27" customHeight="1" thickTop="1">
      <c r="A4" s="39"/>
      <c r="B4" s="359" t="s">
        <v>0</v>
      </c>
      <c r="C4" s="40"/>
      <c r="D4" s="41"/>
      <c r="E4" s="42" t="s">
        <v>1</v>
      </c>
      <c r="F4" s="43">
        <f ca="1">TODAY()</f>
        <v>45166</v>
      </c>
    </row>
    <row r="5" spans="1:6" ht="17.399999999999999">
      <c r="A5" s="39"/>
      <c r="B5" s="360"/>
      <c r="C5" s="252" t="s">
        <v>2</v>
      </c>
      <c r="D5" s="243"/>
      <c r="E5" s="44" t="s">
        <v>3</v>
      </c>
      <c r="F5" s="45" t="s">
        <v>4</v>
      </c>
    </row>
    <row r="6" spans="1:6" ht="17.399999999999999">
      <c r="A6" s="39"/>
      <c r="B6" s="360"/>
      <c r="C6" s="252" t="s">
        <v>5</v>
      </c>
      <c r="D6" s="243"/>
      <c r="E6" s="44"/>
      <c r="F6" s="46"/>
    </row>
    <row r="7" spans="1:6" ht="17.399999999999999">
      <c r="A7" s="39"/>
      <c r="B7" s="360"/>
      <c r="C7" s="252" t="s">
        <v>6</v>
      </c>
      <c r="D7" s="243"/>
      <c r="E7" s="44"/>
      <c r="F7" s="46"/>
    </row>
    <row r="8" spans="1:6" ht="18" customHeight="1">
      <c r="A8" s="39"/>
      <c r="B8" s="360"/>
      <c r="C8" s="253" t="s">
        <v>7</v>
      </c>
      <c r="D8" s="39"/>
      <c r="E8" s="39"/>
      <c r="F8" s="251"/>
    </row>
    <row r="9" spans="1:6" ht="15.75" customHeight="1" thickBot="1">
      <c r="A9" s="39"/>
      <c r="B9" s="361"/>
      <c r="C9" s="254" t="s">
        <v>8</v>
      </c>
      <c r="D9" s="47"/>
      <c r="E9" s="47"/>
      <c r="F9" s="48"/>
    </row>
    <row r="10" spans="1:6" ht="16.8" thickTop="1" thickBot="1">
      <c r="A10" s="39"/>
      <c r="B10" s="49"/>
      <c r="C10" s="50"/>
      <c r="D10" s="51"/>
      <c r="E10" s="39"/>
      <c r="F10" s="39"/>
    </row>
    <row r="11" spans="1:6" ht="18.75" customHeight="1" thickTop="1" thickBot="1">
      <c r="A11" s="39"/>
      <c r="B11" s="52" t="s">
        <v>9</v>
      </c>
      <c r="C11" s="220" t="s">
        <v>10</v>
      </c>
      <c r="D11" s="41"/>
      <c r="E11" s="53" t="s">
        <v>11</v>
      </c>
      <c r="F11" s="54"/>
    </row>
    <row r="12" spans="1:6" ht="20.100000000000001" customHeight="1" thickTop="1" thickBot="1">
      <c r="A12" s="39"/>
      <c r="B12" s="221" t="s">
        <v>12</v>
      </c>
      <c r="C12" s="55" t="s">
        <v>13</v>
      </c>
      <c r="D12" s="39"/>
      <c r="E12" s="362" t="s">
        <v>14</v>
      </c>
      <c r="F12" s="362"/>
    </row>
    <row r="13" spans="1:6" ht="20.100000000000001" customHeight="1" thickTop="1" thickBot="1">
      <c r="A13" s="39"/>
      <c r="B13" s="221" t="s">
        <v>15</v>
      </c>
      <c r="C13" s="56" t="s">
        <v>16</v>
      </c>
      <c r="D13" s="39"/>
      <c r="E13" s="363" t="s">
        <v>17</v>
      </c>
      <c r="F13" s="363"/>
    </row>
    <row r="14" spans="1:6" ht="20.100000000000001" customHeight="1" thickTop="1" thickBot="1">
      <c r="A14" s="39"/>
      <c r="B14" s="221" t="s">
        <v>18</v>
      </c>
      <c r="C14" s="57">
        <v>7</v>
      </c>
      <c r="D14" s="39"/>
      <c r="E14" s="364" t="s">
        <v>19</v>
      </c>
      <c r="F14" s="364"/>
    </row>
    <row r="15" spans="1:6" ht="20.100000000000001" customHeight="1" thickTop="1" thickBot="1">
      <c r="A15" s="39"/>
      <c r="B15" s="221"/>
      <c r="C15" s="56" t="s">
        <v>20</v>
      </c>
      <c r="D15" s="39"/>
      <c r="E15" s="363" t="s">
        <v>21</v>
      </c>
      <c r="F15" s="363"/>
    </row>
    <row r="16" spans="1:6" ht="20.100000000000001" customHeight="1" thickTop="1" thickBot="1">
      <c r="A16" s="39"/>
      <c r="B16" s="222"/>
      <c r="C16" s="59"/>
      <c r="D16" s="60"/>
      <c r="E16" s="365"/>
      <c r="F16" s="365"/>
    </row>
    <row r="17" spans="1:10" ht="31.5" customHeight="1">
      <c r="A17" s="39"/>
      <c r="B17" s="223"/>
      <c r="C17" s="61" t="s">
        <v>22</v>
      </c>
      <c r="D17" s="62"/>
      <c r="E17" s="63"/>
      <c r="F17" s="64"/>
    </row>
    <row r="18" spans="1:10" ht="20.100000000000001" customHeight="1">
      <c r="A18" s="39"/>
      <c r="B18" s="224" t="s">
        <v>23</v>
      </c>
      <c r="C18" s="279" t="s">
        <v>13</v>
      </c>
      <c r="D18" s="39"/>
      <c r="E18" s="63"/>
      <c r="F18" s="64"/>
    </row>
    <row r="19" spans="1:10" ht="20.100000000000001" customHeight="1" thickBot="1">
      <c r="A19" s="39"/>
      <c r="B19" s="224" t="s">
        <v>24</v>
      </c>
      <c r="C19" s="279" t="s">
        <v>25</v>
      </c>
      <c r="D19" s="39"/>
      <c r="E19" s="366"/>
      <c r="F19" s="367"/>
    </row>
    <row r="20" spans="1:10" ht="20.100000000000001" customHeight="1">
      <c r="A20" s="39"/>
      <c r="B20" s="225"/>
      <c r="C20" s="67" t="s">
        <v>26</v>
      </c>
      <c r="D20" s="39"/>
      <c r="E20" s="368"/>
      <c r="F20" s="369"/>
    </row>
    <row r="21" spans="1:10" ht="20.100000000000001" customHeight="1">
      <c r="A21" s="39"/>
      <c r="B21" s="225"/>
      <c r="C21" s="68"/>
      <c r="D21" s="39"/>
      <c r="E21" s="69"/>
      <c r="F21" s="70"/>
    </row>
    <row r="22" spans="1:10" ht="20.100000000000001" customHeight="1" thickBot="1">
      <c r="A22" s="39"/>
      <c r="B22" s="224" t="s">
        <v>27</v>
      </c>
      <c r="C22" s="66" t="s">
        <v>28</v>
      </c>
      <c r="D22" s="39"/>
      <c r="E22" s="357"/>
      <c r="F22" s="358"/>
      <c r="J22" s="39"/>
    </row>
    <row r="23" spans="1:10" ht="37.5" customHeight="1">
      <c r="A23" s="39"/>
      <c r="B23" s="270" t="s">
        <v>29</v>
      </c>
      <c r="C23" s="66" t="s">
        <v>30</v>
      </c>
      <c r="D23" s="39"/>
      <c r="E23" s="380"/>
      <c r="F23" s="381"/>
      <c r="J23" s="39"/>
    </row>
    <row r="24" spans="1:10" ht="22.5" customHeight="1" thickBot="1">
      <c r="A24" s="39"/>
      <c r="B24" s="224" t="s">
        <v>31</v>
      </c>
      <c r="C24" s="280" t="s">
        <v>32</v>
      </c>
      <c r="D24" s="60"/>
      <c r="E24" s="65" t="s">
        <v>33</v>
      </c>
      <c r="F24" s="71">
        <v>7.0000000000000007E-2</v>
      </c>
      <c r="J24" s="39"/>
    </row>
    <row r="25" spans="1:10" ht="23.25" customHeight="1">
      <c r="A25" s="64"/>
      <c r="B25" s="225"/>
      <c r="C25" s="301"/>
      <c r="D25" s="39"/>
      <c r="E25" s="65" t="s">
        <v>34</v>
      </c>
      <c r="F25" s="71">
        <v>0.04</v>
      </c>
      <c r="J25" s="39"/>
    </row>
    <row r="26" spans="1:10" ht="24" customHeight="1" thickBot="1">
      <c r="A26" s="39"/>
      <c r="B26" s="224" t="s">
        <v>35</v>
      </c>
      <c r="C26" s="72"/>
      <c r="D26" s="39"/>
      <c r="E26" s="65" t="s">
        <v>36</v>
      </c>
      <c r="F26" s="71">
        <v>0.1</v>
      </c>
      <c r="J26" s="39"/>
    </row>
    <row r="27" spans="1:10" ht="23.25" customHeight="1">
      <c r="A27" s="39"/>
      <c r="B27" s="225"/>
      <c r="C27" s="72"/>
      <c r="D27" s="39"/>
      <c r="E27" s="382" t="s">
        <v>37</v>
      </c>
      <c r="F27" s="383"/>
    </row>
    <row r="28" spans="1:10" ht="24.75" customHeight="1" thickBot="1">
      <c r="A28" s="39"/>
      <c r="B28" s="224" t="s">
        <v>31</v>
      </c>
      <c r="C28" s="66"/>
      <c r="D28" s="39"/>
      <c r="E28" s="384">
        <f>25*70*8</f>
        <v>14000</v>
      </c>
      <c r="F28" s="385"/>
    </row>
    <row r="29" spans="1:10" ht="24" customHeight="1">
      <c r="A29" s="39"/>
      <c r="B29" s="225"/>
      <c r="C29" s="73"/>
      <c r="D29" s="39"/>
      <c r="E29" s="275"/>
      <c r="F29" s="299"/>
    </row>
    <row r="30" spans="1:10" ht="23.25" customHeight="1">
      <c r="A30" s="39"/>
      <c r="B30" s="226"/>
      <c r="C30" s="298" t="s">
        <v>38</v>
      </c>
      <c r="D30" s="39"/>
      <c r="E30" s="297"/>
      <c r="F30" s="302">
        <f>'SOV '!C45</f>
        <v>6300787.7592203701</v>
      </c>
      <c r="G30" s="300"/>
    </row>
    <row r="31" spans="1:10" ht="10.5" customHeight="1" thickBot="1">
      <c r="A31" s="39"/>
      <c r="B31" s="227"/>
      <c r="C31" s="75"/>
      <c r="D31" s="48"/>
      <c r="E31" s="74"/>
      <c r="F31" s="227"/>
    </row>
    <row r="32" spans="1:10" ht="16.2" thickTop="1">
      <c r="A32" s="39"/>
      <c r="B32" s="39"/>
      <c r="C32" s="58"/>
      <c r="D32" s="39"/>
      <c r="E32" s="39"/>
      <c r="F32" s="39"/>
    </row>
    <row r="33" spans="1:7" ht="16.2" thickBot="1">
      <c r="A33" s="39"/>
      <c r="B33" s="76" t="s">
        <v>39</v>
      </c>
      <c r="C33" s="77"/>
      <c r="D33" s="77"/>
      <c r="E33" s="77"/>
      <c r="F33" s="77"/>
    </row>
    <row r="34" spans="1:7" ht="29.25" customHeight="1" thickBot="1">
      <c r="A34" s="39"/>
      <c r="B34" s="386" t="s">
        <v>40</v>
      </c>
      <c r="C34" s="387"/>
      <c r="D34" s="387"/>
      <c r="E34" s="387"/>
      <c r="F34" s="388"/>
    </row>
    <row r="35" spans="1:7" ht="15.6">
      <c r="A35" s="39"/>
      <c r="B35" s="261"/>
      <c r="C35" s="262"/>
      <c r="D35" s="262"/>
      <c r="E35" s="262"/>
      <c r="F35" s="263"/>
      <c r="G35" s="258"/>
    </row>
    <row r="36" spans="1:7" ht="15.6">
      <c r="A36" s="39"/>
      <c r="B36" s="264"/>
      <c r="C36" s="257"/>
      <c r="D36" s="257"/>
      <c r="E36" s="257"/>
      <c r="F36" s="265"/>
      <c r="G36" s="258"/>
    </row>
    <row r="37" spans="1:7" ht="15.6">
      <c r="A37" s="39"/>
      <c r="B37" s="264"/>
      <c r="C37" s="257"/>
      <c r="D37" s="257"/>
      <c r="E37" s="257"/>
      <c r="F37" s="265"/>
      <c r="G37" s="258"/>
    </row>
    <row r="38" spans="1:7" ht="15.6">
      <c r="A38" s="39"/>
      <c r="B38" s="264"/>
      <c r="C38" s="257"/>
      <c r="D38" s="257"/>
      <c r="E38" s="257"/>
      <c r="F38" s="265"/>
      <c r="G38" s="258"/>
    </row>
    <row r="39" spans="1:7" ht="15.6">
      <c r="A39" s="39"/>
      <c r="B39" s="264"/>
      <c r="C39" s="257"/>
      <c r="D39" s="257"/>
      <c r="E39" s="257"/>
      <c r="F39" s="265"/>
      <c r="G39" s="258"/>
    </row>
    <row r="40" spans="1:7" ht="15.6">
      <c r="A40" s="39"/>
      <c r="B40" s="264"/>
      <c r="C40" s="257"/>
      <c r="D40" s="257"/>
      <c r="E40" s="257"/>
      <c r="F40" s="265"/>
      <c r="G40" s="259"/>
    </row>
    <row r="41" spans="1:7" ht="15.6">
      <c r="A41" s="39"/>
      <c r="B41" s="266"/>
      <c r="C41" s="260"/>
      <c r="D41" s="260"/>
      <c r="E41" s="260"/>
      <c r="F41" s="267"/>
      <c r="G41" s="260"/>
    </row>
    <row r="42" spans="1:7" ht="15.6">
      <c r="A42" s="39"/>
      <c r="B42" s="266"/>
      <c r="C42" s="260"/>
      <c r="D42" s="260"/>
      <c r="E42" s="260"/>
      <c r="F42" s="267"/>
      <c r="G42" s="260"/>
    </row>
    <row r="43" spans="1:7" ht="15.6">
      <c r="A43" s="39"/>
      <c r="B43" s="266"/>
      <c r="C43" s="260"/>
      <c r="D43" s="260"/>
      <c r="E43" s="260"/>
      <c r="F43" s="267"/>
      <c r="G43" s="260"/>
    </row>
    <row r="44" spans="1:7" ht="15.6">
      <c r="A44" s="39"/>
      <c r="B44" s="266"/>
      <c r="C44" s="260"/>
      <c r="D44" s="260"/>
      <c r="E44" s="260"/>
      <c r="F44" s="267"/>
      <c r="G44" s="260"/>
    </row>
    <row r="45" spans="1:7" ht="15.6">
      <c r="A45" s="39"/>
      <c r="B45" s="266"/>
      <c r="C45" s="260"/>
      <c r="D45" s="260"/>
      <c r="E45" s="260"/>
      <c r="F45" s="267"/>
      <c r="G45" s="260"/>
    </row>
    <row r="46" spans="1:7" ht="15.6">
      <c r="A46" s="39"/>
      <c r="B46" s="266"/>
      <c r="C46" s="260"/>
      <c r="D46" s="260"/>
      <c r="E46" s="260"/>
      <c r="F46" s="267"/>
      <c r="G46" s="260"/>
    </row>
    <row r="47" spans="1:7" ht="15.6">
      <c r="A47" s="39"/>
      <c r="B47" s="266"/>
      <c r="C47" s="260"/>
      <c r="D47" s="260"/>
      <c r="E47" s="260"/>
      <c r="F47" s="267"/>
      <c r="G47" s="260"/>
    </row>
    <row r="48" spans="1:7" ht="16.2" thickBot="1">
      <c r="A48" s="39"/>
      <c r="B48" s="268" t="s">
        <v>41</v>
      </c>
      <c r="C48" s="59"/>
      <c r="D48" s="60"/>
      <c r="E48" s="60"/>
      <c r="F48" s="269"/>
    </row>
    <row r="49" spans="1:6" ht="13.2">
      <c r="A49" s="39"/>
      <c r="B49" s="370"/>
      <c r="C49" s="371"/>
      <c r="D49" s="371"/>
      <c r="E49" s="371"/>
      <c r="F49" s="372"/>
    </row>
    <row r="50" spans="1:6" ht="13.2">
      <c r="A50" s="39"/>
      <c r="B50" s="373"/>
      <c r="C50" s="374"/>
      <c r="D50" s="374"/>
      <c r="E50" s="374"/>
      <c r="F50" s="375"/>
    </row>
    <row r="51" spans="1:6" ht="21" customHeight="1">
      <c r="A51" s="39"/>
      <c r="B51" s="373"/>
      <c r="C51" s="374"/>
      <c r="D51" s="374"/>
      <c r="E51" s="374"/>
      <c r="F51" s="375"/>
    </row>
    <row r="52" spans="1:6" ht="41.25" customHeight="1">
      <c r="A52" s="39"/>
      <c r="B52" s="373"/>
      <c r="C52" s="374"/>
      <c r="D52" s="374"/>
      <c r="E52" s="374"/>
      <c r="F52" s="375"/>
    </row>
    <row r="53" spans="1:6" ht="15.6">
      <c r="A53" s="39"/>
      <c r="B53" s="78"/>
      <c r="C53" s="58"/>
      <c r="D53" s="39"/>
      <c r="E53" s="376" t="s">
        <v>42</v>
      </c>
      <c r="F53" s="377"/>
    </row>
    <row r="54" spans="1:6" ht="16.2" thickBot="1">
      <c r="A54" s="39"/>
      <c r="B54" s="79"/>
      <c r="C54" s="59"/>
      <c r="D54" s="60"/>
      <c r="E54" s="378"/>
      <c r="F54" s="379"/>
    </row>
    <row r="55" spans="1:6" ht="15.6">
      <c r="A55" s="39"/>
      <c r="B55" s="39"/>
      <c r="C55" s="77"/>
      <c r="D55" s="39"/>
      <c r="E55" s="39"/>
      <c r="F55" s="39"/>
    </row>
    <row r="61" spans="1:6" ht="13.2">
      <c r="C61" s="35"/>
    </row>
    <row r="62" spans="1:6">
      <c r="B62" s="36"/>
    </row>
  </sheetData>
  <mergeCells count="15">
    <mergeCell ref="B49:F52"/>
    <mergeCell ref="E53:F54"/>
    <mergeCell ref="E23:F23"/>
    <mergeCell ref="E27:F27"/>
    <mergeCell ref="E28:F28"/>
    <mergeCell ref="B34:F34"/>
    <mergeCell ref="E22:F22"/>
    <mergeCell ref="B4:B9"/>
    <mergeCell ref="E12:F12"/>
    <mergeCell ref="E13:F13"/>
    <mergeCell ref="E14:F14"/>
    <mergeCell ref="E15:F15"/>
    <mergeCell ref="E16:F16"/>
    <mergeCell ref="E19:F19"/>
    <mergeCell ref="E20:F20"/>
  </mergeCells>
  <phoneticPr fontId="47" type="noConversion"/>
  <hyperlinks>
    <hyperlink ref="C24" r:id="rId1" xr:uid="{00000000-0004-0000-0000-000000000000}"/>
  </hyperlinks>
  <pageMargins left="0.5" right="0.5" top="0.5" bottom="0.5" header="0.5" footer="0.5"/>
  <pageSetup scale="6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0"/>
  <sheetViews>
    <sheetView showWhiteSpace="0" view="pageLayout" topLeftCell="A13" zoomScale="115" zoomScaleNormal="100" zoomScalePageLayoutView="115" workbookViewId="0">
      <selection activeCell="C44" sqref="C44"/>
    </sheetView>
  </sheetViews>
  <sheetFormatPr defaultColWidth="9.109375" defaultRowHeight="14.4"/>
  <cols>
    <col min="1" max="1" width="10.5546875" customWidth="1"/>
    <col min="2" max="2" width="28.6640625" customWidth="1"/>
    <col min="3" max="3" width="14.88671875" customWidth="1"/>
    <col min="4" max="4" width="13.44140625" bestFit="1" customWidth="1"/>
  </cols>
  <sheetData>
    <row r="1" spans="1:4" ht="18">
      <c r="A1" s="23"/>
      <c r="B1" s="255" t="str">
        <f>Title!C5</f>
        <v>Airitan Management</v>
      </c>
      <c r="C1" s="24"/>
    </row>
    <row r="2" spans="1:4" ht="18">
      <c r="A2" s="8"/>
      <c r="B2" s="256" t="str">
        <f>Title!C6</f>
        <v>64-70 Maurice Ave</v>
      </c>
      <c r="C2" s="14"/>
    </row>
    <row r="3" spans="1:4" ht="18">
      <c r="A3" s="8"/>
      <c r="B3" s="256" t="str">
        <f>Title!C7</f>
        <v>Maspeth, NY 11378</v>
      </c>
      <c r="C3" s="14"/>
    </row>
    <row r="4" spans="1:4">
      <c r="A4" s="8"/>
      <c r="B4" s="102" t="str">
        <f>Title!C8</f>
        <v>(P)718-898-3088, 718-898-3089</v>
      </c>
      <c r="C4" s="14"/>
    </row>
    <row r="5" spans="1:4">
      <c r="A5" s="8"/>
      <c r="B5" s="102" t="str">
        <f>Title!C9</f>
        <v>(F)718-732-2778</v>
      </c>
      <c r="C5" s="14"/>
    </row>
    <row r="6" spans="1:4">
      <c r="A6" s="8"/>
      <c r="B6" s="102"/>
      <c r="C6" s="14"/>
    </row>
    <row r="7" spans="1:4" ht="15" thickBot="1">
      <c r="A7" s="9" t="s">
        <v>43</v>
      </c>
      <c r="B7" s="195">
        <f ca="1">TODAY()</f>
        <v>45166</v>
      </c>
      <c r="C7" s="103"/>
    </row>
    <row r="8" spans="1:4" ht="15" thickBot="1">
      <c r="A8" s="23" t="str">
        <f>Title!B12</f>
        <v>Job Address :</v>
      </c>
      <c r="B8" s="104" t="str">
        <f>Title!C12</f>
        <v>343 West 47th Street</v>
      </c>
      <c r="C8" s="24"/>
    </row>
    <row r="9" spans="1:4" ht="15" thickBot="1">
      <c r="A9" s="99" t="s">
        <v>44</v>
      </c>
      <c r="B9" s="100" t="s">
        <v>45</v>
      </c>
      <c r="C9" s="101" t="s">
        <v>46</v>
      </c>
    </row>
    <row r="10" spans="1:4">
      <c r="A10" s="23" t="str">
        <f>'Scope of Work '!A15</f>
        <v>02 00 00</v>
      </c>
      <c r="B10" t="str">
        <f>'Scope of Work '!B15</f>
        <v>Demolition</v>
      </c>
      <c r="C10" s="29">
        <f>'Scope of Work '!H29</f>
        <v>265505.42666666664</v>
      </c>
    </row>
    <row r="11" spans="1:4">
      <c r="A11" s="8" t="str">
        <f>'Scope of Work '!A32</f>
        <v>02 10 00</v>
      </c>
      <c r="B11" t="str">
        <f>'Scope of Work '!B32</f>
        <v>Excavation</v>
      </c>
      <c r="C11" s="29">
        <f>'Scope of Work '!H42</f>
        <v>58428.57407407408</v>
      </c>
    </row>
    <row r="12" spans="1:4">
      <c r="A12" s="8" t="str">
        <f>'Scope of Work '!A45</f>
        <v>03 00 00</v>
      </c>
      <c r="B12" t="str">
        <f>'Scope of Work '!B45</f>
        <v>Concrete</v>
      </c>
      <c r="C12" s="29">
        <f>'Scope of Work '!H81</f>
        <v>977164.33518518519</v>
      </c>
      <c r="D12" s="293"/>
    </row>
    <row r="13" spans="1:4">
      <c r="A13" s="8" t="str">
        <f>'Scope of Work '!A84</f>
        <v>03 10 00</v>
      </c>
      <c r="B13" t="str">
        <f>'Scope of Work '!B84</f>
        <v>Landscaping</v>
      </c>
      <c r="C13" s="29">
        <f>'Scope of Work '!H90</f>
        <v>18000</v>
      </c>
      <c r="D13" s="293"/>
    </row>
    <row r="14" spans="1:4">
      <c r="A14" s="8" t="str">
        <f>'Scope of Work '!A93</f>
        <v>04 00 00</v>
      </c>
      <c r="B14" t="str">
        <f>'Scope of Work '!B93</f>
        <v xml:space="preserve">CMU Masonry </v>
      </c>
      <c r="C14" s="29">
        <f>'Scope of Work '!H99</f>
        <v>229992</v>
      </c>
    </row>
    <row r="15" spans="1:4">
      <c r="A15" s="8" t="str">
        <f>'Scope of Work '!A102</f>
        <v>05 00 00</v>
      </c>
      <c r="B15" t="str">
        <f>'Scope of Work '!B102</f>
        <v>Misc Steel:</v>
      </c>
      <c r="C15" s="29">
        <f>'Scope of Work '!H111</f>
        <v>127752</v>
      </c>
    </row>
    <row r="16" spans="1:4">
      <c r="A16" s="8" t="str">
        <f>'Scope of Work '!A114</f>
        <v>06 22 00</v>
      </c>
      <c r="B16" t="str">
        <f>'Scope of Work '!B114</f>
        <v>Millwork</v>
      </c>
      <c r="C16" s="29">
        <f>'Scope of Work '!H120</f>
        <v>161280</v>
      </c>
    </row>
    <row r="17" spans="1:3">
      <c r="A17" s="8" t="str">
        <f>'Scope of Work '!A123</f>
        <v>07 10 00</v>
      </c>
      <c r="B17" t="str">
        <f>'Scope of Work '!B123</f>
        <v>Waterproofing</v>
      </c>
      <c r="C17" s="29">
        <f>'Scope of Work '!H130</f>
        <v>12690</v>
      </c>
    </row>
    <row r="18" spans="1:3">
      <c r="A18" s="25" t="str">
        <f>'Scope of Work '!A133</f>
        <v>07 30 00</v>
      </c>
      <c r="B18" t="str">
        <f>'Scope of Work '!B133</f>
        <v>Exterior Panel System</v>
      </c>
      <c r="C18" s="29">
        <f>'Scope of Work '!H144</f>
        <v>159046.20000000001</v>
      </c>
    </row>
    <row r="19" spans="1:3">
      <c r="A19" s="25" t="str">
        <f>'Scope of Work '!A147</f>
        <v>07 40 00</v>
      </c>
      <c r="B19" t="str">
        <f>'Scope of Work '!B147</f>
        <v xml:space="preserve">Roofing </v>
      </c>
      <c r="C19" s="29">
        <f>'Scope of Work '!H162</f>
        <v>143287.1</v>
      </c>
    </row>
    <row r="20" spans="1:3">
      <c r="A20" s="8" t="str">
        <f>'Scope of Work '!A165</f>
        <v>08 11 00</v>
      </c>
      <c r="B20" t="str">
        <f>'Scope of Work '!B165</f>
        <v>Doors &amp; Frames, A-600</v>
      </c>
      <c r="C20" s="29">
        <f>'Scope of Work '!H181</f>
        <v>137767.5</v>
      </c>
    </row>
    <row r="21" spans="1:3">
      <c r="A21" s="8" t="str">
        <f>'Scope of Work '!A184</f>
        <v>08 40 00</v>
      </c>
      <c r="B21" t="str">
        <f>'Scope of Work '!B184</f>
        <v>Window and Storefront</v>
      </c>
      <c r="C21" s="29">
        <f>'Scope of Work '!H195</f>
        <v>405022.72499999998</v>
      </c>
    </row>
    <row r="22" spans="1:3">
      <c r="A22" s="8" t="str">
        <f>'Scope of Work '!A198</f>
        <v>09 21 00</v>
      </c>
      <c r="B22" t="str">
        <f>'Scope of Work '!B198</f>
        <v>Drywall Carpentry</v>
      </c>
      <c r="C22" s="29">
        <f>'Scope of Work '!H216</f>
        <v>451710.00000000006</v>
      </c>
    </row>
    <row r="23" spans="1:3">
      <c r="A23" s="8" t="str">
        <f>'Scope of Work '!A219</f>
        <v>09 30 00</v>
      </c>
      <c r="B23" t="str">
        <f>'Scope of Work '!B219</f>
        <v>Tile and Stone</v>
      </c>
      <c r="C23" s="29">
        <f>'Scope of Work '!H229</f>
        <v>169312.5</v>
      </c>
    </row>
    <row r="24" spans="1:3">
      <c r="A24" s="8" t="str">
        <f>'Scope of Work '!A232</f>
        <v>09 62 00</v>
      </c>
      <c r="B24" t="str">
        <f>'Scope of Work '!B232</f>
        <v>Concrete Coating</v>
      </c>
      <c r="C24" s="29">
        <f>'Scope of Work '!H236</f>
        <v>11273.85</v>
      </c>
    </row>
    <row r="25" spans="1:3">
      <c r="A25" s="8" t="str">
        <f>'Scope of Work '!A239</f>
        <v>09 64 00</v>
      </c>
      <c r="B25" t="str">
        <f>'Scope of Work '!B239</f>
        <v>Wood Floor</v>
      </c>
      <c r="C25" s="29">
        <f>'Scope of Work '!H244</f>
        <v>153959.40000000002</v>
      </c>
    </row>
    <row r="26" spans="1:3">
      <c r="A26" s="8" t="str">
        <f>'Scope of Work '!A247</f>
        <v>09 90 00</v>
      </c>
      <c r="B26" t="str">
        <f>'Scope of Work '!B247</f>
        <v>Painting</v>
      </c>
      <c r="C26" s="29">
        <f>'Scope of Work '!H251</f>
        <v>71415</v>
      </c>
    </row>
    <row r="27" spans="1:3">
      <c r="A27" s="8" t="str">
        <f>'Scope of Work '!A263</f>
        <v>10 00 00</v>
      </c>
      <c r="B27" s="277" t="str">
        <f>'Scope of Work '!B263</f>
        <v>Specialties</v>
      </c>
      <c r="C27" s="29"/>
    </row>
    <row r="28" spans="1:3">
      <c r="A28" s="8" t="str">
        <f>'Scope of Work '!A255</f>
        <v>10 10 00</v>
      </c>
      <c r="B28" s="303" t="str">
        <f>'Scope of Work '!B255</f>
        <v>Roof Top Furnishing</v>
      </c>
      <c r="C28" s="29">
        <f>'Scope of Work '!H260</f>
        <v>15660</v>
      </c>
    </row>
    <row r="29" spans="1:3">
      <c r="A29" s="8" t="str">
        <f>'Scope of Work '!A265</f>
        <v>10 20 00</v>
      </c>
      <c r="B29" s="303" t="str">
        <f>'Scope of Work '!B265</f>
        <v>Mail boxes- Florence, A-601</v>
      </c>
      <c r="C29" s="29">
        <f>'Scope of Work '!H269</f>
        <v>4252.5</v>
      </c>
    </row>
    <row r="30" spans="1:3">
      <c r="A30" s="8" t="str">
        <f>'Scope of Work '!A272</f>
        <v>10 14 00</v>
      </c>
      <c r="B30" s="303" t="str">
        <f>'Scope of Work '!B272</f>
        <v>Signage</v>
      </c>
      <c r="C30" s="29">
        <f>'Scope of Work '!H284</f>
        <v>9112.5</v>
      </c>
    </row>
    <row r="31" spans="1:3">
      <c r="A31" s="8" t="str">
        <f>'Scope of Work '!A287</f>
        <v>10 28 00</v>
      </c>
      <c r="B31" t="str">
        <f>'Scope of Work '!B287</f>
        <v>Toilet Accessories</v>
      </c>
      <c r="C31" s="29">
        <f>'Scope of Work '!H295</f>
        <v>13986</v>
      </c>
    </row>
    <row r="32" spans="1:3">
      <c r="A32" s="8" t="str">
        <f>'Scope of Work '!A298</f>
        <v>11 31 00</v>
      </c>
      <c r="B32" t="str">
        <f>'Scope of Work '!B298</f>
        <v>Appliances</v>
      </c>
      <c r="C32" s="29">
        <f>'Scope of Work '!H307</f>
        <v>87885</v>
      </c>
    </row>
    <row r="33" spans="1:4">
      <c r="A33" s="8" t="str">
        <f>'Scope of Work '!A310</f>
        <v>14 20 00</v>
      </c>
      <c r="B33" t="str">
        <f>'Scope of Work '!B310</f>
        <v>Conveying System</v>
      </c>
      <c r="C33" s="29">
        <f>'Scope of Work '!H315</f>
        <v>297000</v>
      </c>
    </row>
    <row r="34" spans="1:4">
      <c r="A34" s="8" t="str">
        <f>'Scope of Work '!A318</f>
        <v>21 00 00</v>
      </c>
      <c r="B34" t="str">
        <f>'Scope of Work '!B318</f>
        <v>Fire Protection</v>
      </c>
      <c r="C34" s="29">
        <f>'Scope of Work '!H336</f>
        <v>136697.5</v>
      </c>
    </row>
    <row r="35" spans="1:4">
      <c r="A35" s="25" t="str">
        <f>'Scope of Work '!A339</f>
        <v>22 00 00</v>
      </c>
      <c r="B35" s="26" t="str">
        <f>'Scope of Work '!B339</f>
        <v>Plumbing</v>
      </c>
      <c r="C35" s="29">
        <f>'Scope of Work '!H377</f>
        <v>377680</v>
      </c>
    </row>
    <row r="36" spans="1:4">
      <c r="A36" s="25" t="str">
        <f>'Scope of Work '!A380</f>
        <v>22 40 00</v>
      </c>
      <c r="B36" s="26" t="str">
        <f>'Scope of Work '!B380</f>
        <v>Plumbing Fixtures</v>
      </c>
      <c r="C36" s="29">
        <f>'Scope of Work '!H393</f>
        <v>38475</v>
      </c>
    </row>
    <row r="37" spans="1:4">
      <c r="A37" s="8" t="str">
        <f>'Scope of Work '!A396</f>
        <v>23 00 00</v>
      </c>
      <c r="B37" t="str">
        <f>'Scope of Work '!B396</f>
        <v>HVAC</v>
      </c>
      <c r="C37" s="29">
        <f>'Scope of Work '!H447</f>
        <v>378000</v>
      </c>
    </row>
    <row r="38" spans="1:4">
      <c r="A38" s="8" t="str">
        <f>'Scope of Work '!A450</f>
        <v>26 00 00</v>
      </c>
      <c r="B38" t="str">
        <f>'Scope of Work '!B450</f>
        <v>Electrical</v>
      </c>
      <c r="C38" s="29">
        <f>'Scope of Work '!H478</f>
        <v>230107.5</v>
      </c>
    </row>
    <row r="39" spans="1:4">
      <c r="A39" s="8" t="str">
        <f>'Scope of Work '!A481</f>
        <v>28 31 00</v>
      </c>
      <c r="B39" t="str">
        <f>'Scope of Work '!B481</f>
        <v xml:space="preserve">Fire Alarm </v>
      </c>
      <c r="C39" s="29">
        <f>'Scope of Work '!H494</f>
        <v>64800.000000000007</v>
      </c>
    </row>
    <row r="40" spans="1:4">
      <c r="A40" s="8"/>
      <c r="C40" s="196"/>
    </row>
    <row r="41" spans="1:4">
      <c r="A41" s="27"/>
      <c r="B41" s="3" t="s">
        <v>47</v>
      </c>
      <c r="C41" s="30">
        <f>SUM(C9:C39)</f>
        <v>5207262.6109259259</v>
      </c>
      <c r="D41" s="274"/>
    </row>
    <row r="42" spans="1:4">
      <c r="A42" s="28"/>
      <c r="B42" s="4" t="str">
        <f>'Scope of Work '!B497</f>
        <v>General Conditions (7%)</v>
      </c>
      <c r="C42" s="31">
        <f>'Scope of Work '!H497</f>
        <v>364508.38276481483</v>
      </c>
    </row>
    <row r="43" spans="1:4">
      <c r="A43" s="28"/>
      <c r="B43" s="4" t="str">
        <f>'Scope of Work '!B498</f>
        <v>Insurance (4%)</v>
      </c>
      <c r="C43" s="31">
        <f>C41*0.04</f>
        <v>208290.50443703705</v>
      </c>
    </row>
    <row r="44" spans="1:4">
      <c r="A44" s="28"/>
      <c r="B44" s="4" t="str">
        <f>'Scope of Work '!B499</f>
        <v>Overhead and Profit (10%)</v>
      </c>
      <c r="C44" s="31">
        <f>'Scope of Work '!H499</f>
        <v>520726.26109259261</v>
      </c>
    </row>
    <row r="45" spans="1:4" ht="15" thickBot="1">
      <c r="A45" s="32"/>
      <c r="B45" s="33" t="s">
        <v>48</v>
      </c>
      <c r="C45" s="34">
        <f>SUM(C41:C44)</f>
        <v>6300787.7592203701</v>
      </c>
      <c r="D45" s="277"/>
    </row>
    <row r="46" spans="1:4">
      <c r="A46" s="294"/>
      <c r="B46" s="294"/>
      <c r="C46" s="294"/>
      <c r="D46" s="293"/>
    </row>
    <row r="47" spans="1:4">
      <c r="A47" s="294"/>
      <c r="B47" s="296"/>
      <c r="C47" s="295"/>
      <c r="D47" s="293"/>
    </row>
    <row r="48" spans="1:4">
      <c r="A48" s="294"/>
      <c r="B48" s="294"/>
      <c r="C48" s="294"/>
    </row>
    <row r="49" spans="1:3">
      <c r="A49" s="294"/>
      <c r="B49" s="294"/>
      <c r="C49" s="306"/>
    </row>
    <row r="50" spans="1:3">
      <c r="A50" s="294"/>
      <c r="B50" s="294"/>
      <c r="C50" s="294"/>
    </row>
    <row r="51" spans="1:3">
      <c r="A51" s="294"/>
      <c r="B51" s="294"/>
      <c r="C51" s="294"/>
    </row>
    <row r="52" spans="1:3">
      <c r="A52" s="294"/>
      <c r="B52" s="294"/>
      <c r="C52" s="294"/>
    </row>
    <row r="53" spans="1:3">
      <c r="A53" s="294"/>
      <c r="B53" s="294"/>
      <c r="C53" s="294"/>
    </row>
    <row r="54" spans="1:3">
      <c r="A54" s="294"/>
      <c r="B54" s="294"/>
      <c r="C54" s="294"/>
    </row>
    <row r="55" spans="1:3">
      <c r="A55" s="294"/>
      <c r="B55" s="294"/>
      <c r="C55" s="294"/>
    </row>
    <row r="56" spans="1:3">
      <c r="A56" s="294"/>
      <c r="B56" s="294"/>
      <c r="C56" s="294"/>
    </row>
    <row r="57" spans="1:3">
      <c r="A57" s="294"/>
      <c r="B57" s="294"/>
      <c r="C57" s="294"/>
    </row>
    <row r="58" spans="1:3">
      <c r="A58" s="294"/>
      <c r="B58" s="294"/>
      <c r="C58" s="294"/>
    </row>
    <row r="59" spans="1:3">
      <c r="A59" s="294"/>
      <c r="B59" s="294"/>
      <c r="C59" s="294"/>
    </row>
    <row r="60" spans="1:3">
      <c r="A60" s="294"/>
      <c r="B60" s="294"/>
      <c r="C60" s="294"/>
    </row>
  </sheetData>
  <printOptions horizontalCentered="1"/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13"/>
  <sheetViews>
    <sheetView tabSelected="1" view="pageLayout" zoomScaleNormal="100" workbookViewId="0">
      <selection activeCell="B17" sqref="B17"/>
    </sheetView>
  </sheetViews>
  <sheetFormatPr defaultColWidth="9.109375" defaultRowHeight="14.4"/>
  <cols>
    <col min="1" max="1" width="11" bestFit="1" customWidth="1"/>
    <col min="2" max="2" width="54.33203125" customWidth="1"/>
    <col min="3" max="3" width="5.33203125" customWidth="1"/>
    <col min="4" max="4" width="12" customWidth="1"/>
    <col min="5" max="5" width="12.88671875" hidden="1" customWidth="1"/>
    <col min="6" max="6" width="12.88671875" customWidth="1"/>
    <col min="7" max="7" width="12.6640625" customWidth="1"/>
    <col min="8" max="8" width="13.33203125" customWidth="1"/>
  </cols>
  <sheetData>
    <row r="1" spans="1:9">
      <c r="A1" s="201"/>
      <c r="B1" s="202"/>
      <c r="C1" s="202"/>
      <c r="D1" s="202"/>
      <c r="E1" s="202"/>
      <c r="F1" s="202"/>
      <c r="G1" s="202"/>
      <c r="H1" s="202"/>
    </row>
    <row r="2" spans="1:9" ht="21">
      <c r="A2" s="203"/>
      <c r="B2" s="389" t="str">
        <f>Title!C5</f>
        <v>Airitan Management</v>
      </c>
      <c r="C2" s="389"/>
      <c r="D2" s="389"/>
      <c r="E2" s="389"/>
      <c r="F2" s="308"/>
      <c r="G2" s="204"/>
      <c r="H2" s="204"/>
    </row>
    <row r="3" spans="1:9" ht="18">
      <c r="A3" s="203"/>
      <c r="B3" s="390" t="str">
        <f>Title!C6</f>
        <v>64-70 Maurice Ave</v>
      </c>
      <c r="C3" s="390"/>
      <c r="D3" s="390"/>
      <c r="E3" s="390"/>
      <c r="F3" s="309"/>
      <c r="G3" s="204"/>
      <c r="H3" s="204"/>
    </row>
    <row r="4" spans="1:9" ht="18">
      <c r="A4" s="203"/>
      <c r="B4" s="390" t="str">
        <f>Title!C7</f>
        <v>Maspeth, NY 11378</v>
      </c>
      <c r="C4" s="390"/>
      <c r="D4" s="390"/>
      <c r="E4" s="390"/>
      <c r="F4" s="309"/>
      <c r="G4" s="204"/>
      <c r="H4" s="204"/>
    </row>
    <row r="5" spans="1:9">
      <c r="A5" s="203"/>
      <c r="B5" s="204"/>
      <c r="C5" s="204"/>
      <c r="D5" s="204"/>
      <c r="E5" s="204"/>
      <c r="F5" s="204"/>
      <c r="G5" s="204"/>
      <c r="H5" s="204"/>
    </row>
    <row r="6" spans="1:9">
      <c r="A6" s="203" t="str">
        <f>Title!B11</f>
        <v xml:space="preserve">Project </v>
      </c>
      <c r="B6" s="204" t="str">
        <f>Title!C11</f>
        <v>Midtown West 47 Street</v>
      </c>
      <c r="C6" s="204"/>
      <c r="D6" s="205" t="str">
        <f>Title!E11</f>
        <v>Estimator</v>
      </c>
      <c r="E6" s="204"/>
      <c r="F6" s="204"/>
      <c r="G6" s="204"/>
      <c r="H6" s="204"/>
    </row>
    <row r="7" spans="1:9">
      <c r="A7" s="203" t="str">
        <f>Title!B12</f>
        <v>Job Address :</v>
      </c>
      <c r="B7" s="204" t="s">
        <v>49</v>
      </c>
      <c r="C7" s="204"/>
      <c r="D7" s="206" t="str">
        <f>Title!E12</f>
        <v>Marcus Bannister</v>
      </c>
      <c r="E7" s="204"/>
      <c r="F7" s="204"/>
      <c r="G7" s="204"/>
      <c r="H7" s="204"/>
    </row>
    <row r="8" spans="1:9">
      <c r="A8" s="203" t="str">
        <f>Title!B13</f>
        <v>City/State:</v>
      </c>
      <c r="B8" s="204" t="str">
        <f>Title!C13</f>
        <v xml:space="preserve"> New York, NY</v>
      </c>
      <c r="C8" s="204"/>
      <c r="D8" s="205" t="str">
        <f>Title!E13</f>
        <v xml:space="preserve">PM: </v>
      </c>
      <c r="E8" s="204"/>
      <c r="F8" s="204"/>
      <c r="G8" s="204"/>
      <c r="H8" s="204"/>
    </row>
    <row r="9" spans="1:9">
      <c r="A9" s="203" t="str">
        <f>Title!B14</f>
        <v>Floors :</v>
      </c>
      <c r="B9" s="207">
        <v>6</v>
      </c>
      <c r="C9" s="204"/>
      <c r="D9" s="206" t="str">
        <f>Title!E14</f>
        <v>Kelvin Zou</v>
      </c>
      <c r="E9" s="204"/>
      <c r="F9" s="204"/>
      <c r="G9" s="204"/>
      <c r="H9" s="204"/>
    </row>
    <row r="10" spans="1:9">
      <c r="A10" s="203"/>
      <c r="B10" s="204" t="s">
        <v>50</v>
      </c>
      <c r="C10" s="204"/>
      <c r="D10" s="205" t="str">
        <f>Title!E15</f>
        <v xml:space="preserve">Admin </v>
      </c>
      <c r="E10" s="204"/>
      <c r="F10" s="204"/>
      <c r="G10" s="204"/>
      <c r="H10" s="204"/>
    </row>
    <row r="11" spans="1:9">
      <c r="A11" s="203" t="str">
        <f>Title!E4</f>
        <v>DATE:</v>
      </c>
      <c r="B11" s="208">
        <f ca="1">TODAY()</f>
        <v>45166</v>
      </c>
      <c r="C11" s="204"/>
      <c r="D11" s="204"/>
      <c r="E11" s="204"/>
      <c r="F11" s="204"/>
      <c r="G11" s="204"/>
      <c r="H11" s="204"/>
    </row>
    <row r="12" spans="1:9" ht="15" thickBot="1">
      <c r="A12" s="203"/>
      <c r="B12" s="204"/>
      <c r="C12" s="391" t="s">
        <v>51</v>
      </c>
      <c r="D12" s="391"/>
      <c r="E12" s="204"/>
      <c r="F12" s="204"/>
      <c r="G12" s="209" t="s">
        <v>52</v>
      </c>
      <c r="H12" s="210">
        <f>Title!E28</f>
        <v>14000</v>
      </c>
    </row>
    <row r="13" spans="1:9" ht="28.5" customHeight="1">
      <c r="A13" s="211" t="s">
        <v>44</v>
      </c>
      <c r="B13" s="81" t="s">
        <v>53</v>
      </c>
      <c r="C13" s="81" t="s">
        <v>54</v>
      </c>
      <c r="D13" s="82" t="s">
        <v>55</v>
      </c>
      <c r="E13" s="81" t="s">
        <v>56</v>
      </c>
      <c r="F13" s="81" t="s">
        <v>56</v>
      </c>
      <c r="G13" s="81" t="s">
        <v>57</v>
      </c>
      <c r="H13" s="81" t="s">
        <v>48</v>
      </c>
      <c r="I13" s="84" t="s">
        <v>58</v>
      </c>
    </row>
    <row r="14" spans="1:9">
      <c r="A14" s="212"/>
      <c r="B14" s="146"/>
      <c r="C14" s="85"/>
      <c r="D14" s="85"/>
      <c r="E14" s="85"/>
      <c r="F14" s="313"/>
      <c r="G14" s="136"/>
      <c r="H14" s="135"/>
    </row>
    <row r="15" spans="1:9">
      <c r="A15" s="212" t="s">
        <v>59</v>
      </c>
      <c r="B15" s="232" t="s">
        <v>60</v>
      </c>
      <c r="C15" s="85"/>
      <c r="D15" s="88"/>
      <c r="E15" s="108"/>
      <c r="F15" s="314"/>
      <c r="G15" s="138"/>
      <c r="H15" s="135"/>
    </row>
    <row r="16" spans="1:9" s="342" customFormat="1">
      <c r="A16" s="336"/>
      <c r="B16" s="310" t="s">
        <v>61</v>
      </c>
      <c r="C16" s="337" t="s">
        <v>62</v>
      </c>
      <c r="D16" s="338">
        <v>1</v>
      </c>
      <c r="E16" s="339">
        <f>1193*8*9*1.35</f>
        <v>115959.6</v>
      </c>
      <c r="F16" s="340">
        <f>E16*1.1</f>
        <v>127555.56000000001</v>
      </c>
      <c r="G16" s="341">
        <f>D16*F16</f>
        <v>127555.56000000001</v>
      </c>
      <c r="I16" s="341"/>
    </row>
    <row r="17" spans="1:9" s="342" customFormat="1">
      <c r="A17" s="336"/>
      <c r="B17" s="310" t="s">
        <v>63</v>
      </c>
      <c r="C17" s="337" t="s">
        <v>62</v>
      </c>
      <c r="D17" s="338">
        <v>1</v>
      </c>
      <c r="E17" s="339">
        <f>1193*12</f>
        <v>14316</v>
      </c>
      <c r="F17" s="340">
        <f t="shared" ref="F17:F25" si="0">E17*1.2</f>
        <v>17179.2</v>
      </c>
      <c r="G17" s="341">
        <f t="shared" ref="G17:G25" si="1">D17*F17</f>
        <v>17179.2</v>
      </c>
      <c r="I17" s="341"/>
    </row>
    <row r="18" spans="1:9" s="342" customFormat="1">
      <c r="A18" s="336"/>
      <c r="B18" s="310" t="s">
        <v>64</v>
      </c>
      <c r="C18" s="337" t="s">
        <v>62</v>
      </c>
      <c r="D18" s="338">
        <v>1</v>
      </c>
      <c r="E18" s="339">
        <f>12000*1</f>
        <v>12000</v>
      </c>
      <c r="F18" s="340">
        <f t="shared" si="0"/>
        <v>14400</v>
      </c>
      <c r="G18" s="341">
        <f t="shared" si="1"/>
        <v>14400</v>
      </c>
      <c r="I18" s="341"/>
    </row>
    <row r="19" spans="1:9" s="342" customFormat="1">
      <c r="A19" s="336"/>
      <c r="B19" s="310" t="s">
        <v>65</v>
      </c>
      <c r="C19" s="337" t="s">
        <v>62</v>
      </c>
      <c r="D19" s="343">
        <v>1</v>
      </c>
      <c r="E19" s="339">
        <v>4500</v>
      </c>
      <c r="F19" s="340">
        <f t="shared" si="0"/>
        <v>5400</v>
      </c>
      <c r="G19" s="341">
        <f t="shared" si="1"/>
        <v>5400</v>
      </c>
      <c r="I19" s="341"/>
    </row>
    <row r="20" spans="1:9" s="342" customFormat="1">
      <c r="A20" s="336"/>
      <c r="B20" s="310" t="s">
        <v>66</v>
      </c>
      <c r="C20" s="337" t="s">
        <v>62</v>
      </c>
      <c r="D20" s="343">
        <v>1</v>
      </c>
      <c r="E20" s="339">
        <v>4000</v>
      </c>
      <c r="F20" s="340">
        <f t="shared" si="0"/>
        <v>4800</v>
      </c>
      <c r="G20" s="341">
        <f t="shared" si="1"/>
        <v>4800</v>
      </c>
      <c r="I20" s="341"/>
    </row>
    <row r="21" spans="1:9" s="342" customFormat="1">
      <c r="A21" s="336"/>
      <c r="B21" s="310" t="s">
        <v>67</v>
      </c>
      <c r="C21" s="337" t="s">
        <v>68</v>
      </c>
      <c r="D21" s="343">
        <v>168</v>
      </c>
      <c r="E21" s="339">
        <v>65</v>
      </c>
      <c r="F21" s="340">
        <f t="shared" si="0"/>
        <v>78</v>
      </c>
      <c r="G21" s="341">
        <f t="shared" si="1"/>
        <v>13104</v>
      </c>
      <c r="I21" s="341"/>
    </row>
    <row r="22" spans="1:9" s="342" customFormat="1">
      <c r="A22" s="336"/>
      <c r="B22" s="310" t="s">
        <v>69</v>
      </c>
      <c r="C22" s="337" t="s">
        <v>62</v>
      </c>
      <c r="D22" s="343">
        <v>1</v>
      </c>
      <c r="E22" s="339">
        <f>4*2400</f>
        <v>9600</v>
      </c>
      <c r="F22" s="340">
        <f t="shared" si="0"/>
        <v>11520</v>
      </c>
      <c r="G22" s="341">
        <f t="shared" si="1"/>
        <v>11520</v>
      </c>
      <c r="I22" s="341"/>
    </row>
    <row r="23" spans="1:9" s="342" customFormat="1">
      <c r="A23" s="336"/>
      <c r="B23" s="310" t="s">
        <v>70</v>
      </c>
      <c r="C23" s="337" t="s">
        <v>71</v>
      </c>
      <c r="D23" s="343">
        <v>1200</v>
      </c>
      <c r="E23" s="339">
        <v>12</v>
      </c>
      <c r="F23" s="340">
        <f t="shared" si="0"/>
        <v>14.399999999999999</v>
      </c>
      <c r="G23" s="341">
        <f t="shared" si="1"/>
        <v>17280</v>
      </c>
      <c r="I23" s="341"/>
    </row>
    <row r="24" spans="1:9">
      <c r="A24" s="212"/>
      <c r="B24" s="148" t="s">
        <v>72</v>
      </c>
      <c r="C24" s="86" t="s">
        <v>73</v>
      </c>
      <c r="D24" s="250">
        <f>17*16*12/27</f>
        <v>120.88888888888889</v>
      </c>
      <c r="E24" s="108">
        <v>250</v>
      </c>
      <c r="F24" s="314">
        <f t="shared" si="0"/>
        <v>300</v>
      </c>
      <c r="G24" s="138">
        <f t="shared" si="1"/>
        <v>36266.666666666664</v>
      </c>
    </row>
    <row r="25" spans="1:9">
      <c r="A25" s="212"/>
      <c r="B25" s="148" t="s">
        <v>74</v>
      </c>
      <c r="C25" s="86" t="s">
        <v>62</v>
      </c>
      <c r="D25" s="250">
        <v>1</v>
      </c>
      <c r="E25" s="108">
        <v>15000</v>
      </c>
      <c r="F25" s="314">
        <f t="shared" si="0"/>
        <v>18000</v>
      </c>
      <c r="G25" s="138">
        <f t="shared" si="1"/>
        <v>18000</v>
      </c>
    </row>
    <row r="26" spans="1:9">
      <c r="A26" s="212"/>
      <c r="B26" s="148"/>
      <c r="C26" s="86"/>
      <c r="D26" s="250"/>
      <c r="E26" s="108"/>
      <c r="F26" s="314"/>
      <c r="G26" s="138"/>
    </row>
    <row r="27" spans="1:9">
      <c r="A27" s="212"/>
      <c r="B27" s="148"/>
      <c r="C27" s="86"/>
      <c r="D27" s="250"/>
      <c r="E27" s="108"/>
      <c r="F27" s="314"/>
      <c r="G27" s="138"/>
    </row>
    <row r="28" spans="1:9">
      <c r="A28" s="212"/>
      <c r="B28" s="148"/>
      <c r="C28" s="86"/>
      <c r="D28" s="250"/>
      <c r="E28" s="111"/>
      <c r="F28" s="315"/>
      <c r="G28" s="137"/>
    </row>
    <row r="29" spans="1:9" ht="15" thickBot="1">
      <c r="A29" s="212" t="s">
        <v>48</v>
      </c>
      <c r="B29" s="287" t="s">
        <v>75</v>
      </c>
      <c r="C29" s="86"/>
      <c r="D29" s="85"/>
      <c r="E29" s="87"/>
      <c r="F29" s="316"/>
      <c r="G29" s="137"/>
      <c r="H29" s="241">
        <f>SUM(G14:G28)</f>
        <v>265505.42666666664</v>
      </c>
    </row>
    <row r="30" spans="1:9" ht="28.5" customHeight="1">
      <c r="A30" s="211" t="s">
        <v>44</v>
      </c>
      <c r="B30" s="81" t="s">
        <v>53</v>
      </c>
      <c r="C30" s="81" t="s">
        <v>54</v>
      </c>
      <c r="D30" s="82" t="s">
        <v>55</v>
      </c>
      <c r="E30" s="81" t="s">
        <v>56</v>
      </c>
      <c r="F30" s="84" t="s">
        <v>56</v>
      </c>
      <c r="G30" s="81" t="s">
        <v>57</v>
      </c>
      <c r="H30" s="81" t="s">
        <v>48</v>
      </c>
    </row>
    <row r="31" spans="1:9">
      <c r="A31" s="212"/>
      <c r="B31" s="146"/>
      <c r="C31" s="85"/>
      <c r="D31" s="85"/>
      <c r="E31" s="85"/>
      <c r="F31" s="313"/>
      <c r="G31" s="136"/>
      <c r="H31" s="135"/>
    </row>
    <row r="32" spans="1:9">
      <c r="A32" s="212" t="s">
        <v>76</v>
      </c>
      <c r="B32" s="232" t="s">
        <v>77</v>
      </c>
      <c r="C32" s="85"/>
      <c r="D32" s="85"/>
      <c r="E32" s="85"/>
      <c r="F32" s="313"/>
      <c r="G32" s="136"/>
      <c r="H32" s="135"/>
    </row>
    <row r="33" spans="1:9">
      <c r="A33" s="212"/>
      <c r="B33" s="148"/>
      <c r="C33" s="86"/>
      <c r="D33" s="85"/>
      <c r="E33" s="87"/>
      <c r="F33" s="316"/>
      <c r="G33" s="137"/>
    </row>
    <row r="34" spans="1:9" s="342" customFormat="1">
      <c r="A34" s="336"/>
      <c r="B34" s="344" t="s">
        <v>78</v>
      </c>
      <c r="C34" s="345" t="s">
        <v>62</v>
      </c>
      <c r="D34" s="338">
        <v>1</v>
      </c>
      <c r="E34" s="339">
        <v>6000</v>
      </c>
      <c r="F34" s="339">
        <v>6000</v>
      </c>
      <c r="G34" s="341">
        <f t="shared" ref="G34:G40" si="2">D34*F34</f>
        <v>6000</v>
      </c>
      <c r="I34" s="356"/>
    </row>
    <row r="35" spans="1:9" s="342" customFormat="1">
      <c r="A35" s="336"/>
      <c r="B35" s="344" t="s">
        <v>79</v>
      </c>
      <c r="C35" s="345" t="s">
        <v>62</v>
      </c>
      <c r="D35" s="338">
        <v>1</v>
      </c>
      <c r="E35" s="339">
        <v>4000</v>
      </c>
      <c r="F35" s="339">
        <v>4000</v>
      </c>
      <c r="G35" s="341">
        <f t="shared" si="2"/>
        <v>4000</v>
      </c>
      <c r="I35" s="356"/>
    </row>
    <row r="36" spans="1:9">
      <c r="A36" s="212"/>
      <c r="B36" s="149" t="s">
        <v>80</v>
      </c>
      <c r="C36" s="89" t="s">
        <v>62</v>
      </c>
      <c r="D36" s="88">
        <v>1</v>
      </c>
      <c r="E36" s="108">
        <v>5000</v>
      </c>
      <c r="F36" s="108">
        <v>8500</v>
      </c>
      <c r="G36" s="138">
        <f t="shared" si="2"/>
        <v>8500</v>
      </c>
    </row>
    <row r="37" spans="1:9">
      <c r="A37" s="212"/>
      <c r="B37" s="149" t="s">
        <v>81</v>
      </c>
      <c r="C37" s="89" t="s">
        <v>62</v>
      </c>
      <c r="D37" s="88">
        <v>1</v>
      </c>
      <c r="E37" s="108">
        <v>6500</v>
      </c>
      <c r="F37" s="108">
        <v>6500</v>
      </c>
      <c r="G37" s="138">
        <f t="shared" si="2"/>
        <v>6500</v>
      </c>
    </row>
    <row r="38" spans="1:9" s="342" customFormat="1" ht="27">
      <c r="A38" s="336"/>
      <c r="B38" s="348" t="s">
        <v>82</v>
      </c>
      <c r="C38" s="345" t="s">
        <v>73</v>
      </c>
      <c r="D38" s="343">
        <f>1193*5.5/27*1.2</f>
        <v>291.62222222222221</v>
      </c>
      <c r="E38" s="339">
        <v>80</v>
      </c>
      <c r="F38" s="339">
        <v>80</v>
      </c>
      <c r="G38" s="341">
        <f t="shared" si="2"/>
        <v>23329.777777777777</v>
      </c>
      <c r="I38" s="356"/>
    </row>
    <row r="39" spans="1:9" s="342" customFormat="1">
      <c r="A39" s="336"/>
      <c r="B39" s="346" t="s">
        <v>83</v>
      </c>
      <c r="C39" s="345" t="s">
        <v>73</v>
      </c>
      <c r="D39" s="343">
        <f>1193*0.5/27</f>
        <v>22.092592592592592</v>
      </c>
      <c r="E39" s="347">
        <v>95</v>
      </c>
      <c r="F39" s="347">
        <v>95</v>
      </c>
      <c r="G39" s="341">
        <f t="shared" si="2"/>
        <v>2098.7962962962961</v>
      </c>
      <c r="I39" s="356"/>
    </row>
    <row r="40" spans="1:9" s="342" customFormat="1">
      <c r="A40" s="336"/>
      <c r="B40" s="346" t="s">
        <v>84</v>
      </c>
      <c r="C40" s="345" t="s">
        <v>62</v>
      </c>
      <c r="D40" s="345">
        <v>1</v>
      </c>
      <c r="E40" s="347">
        <v>8000</v>
      </c>
      <c r="F40" s="347">
        <v>8000</v>
      </c>
      <c r="G40" s="341">
        <f t="shared" si="2"/>
        <v>8000</v>
      </c>
      <c r="I40" s="356"/>
    </row>
    <row r="41" spans="1:9">
      <c r="A41" s="212"/>
      <c r="B41" s="150"/>
      <c r="C41" s="89"/>
      <c r="D41" s="89"/>
      <c r="E41" s="111"/>
      <c r="F41" s="315"/>
      <c r="G41" s="137"/>
    </row>
    <row r="42" spans="1:9">
      <c r="A42" s="212" t="s">
        <v>48</v>
      </c>
      <c r="B42" s="287" t="s">
        <v>75</v>
      </c>
      <c r="C42" s="86"/>
      <c r="D42" s="85"/>
      <c r="E42" s="87"/>
      <c r="F42" s="316"/>
      <c r="G42" s="137"/>
      <c r="H42" s="241">
        <f>SUM(G34:G40)</f>
        <v>58428.57407407408</v>
      </c>
    </row>
    <row r="43" spans="1:9" ht="28.5" customHeight="1" thickBot="1">
      <c r="A43" s="213" t="s">
        <v>44</v>
      </c>
      <c r="B43" s="84" t="s">
        <v>53</v>
      </c>
      <c r="C43" s="84" t="s">
        <v>54</v>
      </c>
      <c r="D43" s="4" t="s">
        <v>55</v>
      </c>
      <c r="E43" s="84" t="s">
        <v>56</v>
      </c>
      <c r="F43" s="84" t="s">
        <v>56</v>
      </c>
      <c r="G43" s="84" t="s">
        <v>57</v>
      </c>
      <c r="H43" s="7" t="s">
        <v>48</v>
      </c>
    </row>
    <row r="44" spans="1:9" ht="15" thickTop="1">
      <c r="A44" s="212"/>
      <c r="B44" s="146"/>
      <c r="C44" s="85"/>
      <c r="D44" s="85"/>
      <c r="E44" s="85"/>
      <c r="F44" s="313"/>
      <c r="G44" s="136"/>
      <c r="H44" s="5"/>
    </row>
    <row r="45" spans="1:9">
      <c r="A45" s="212" t="s">
        <v>85</v>
      </c>
      <c r="B45" s="232" t="s">
        <v>86</v>
      </c>
      <c r="C45" s="85"/>
      <c r="D45" s="85"/>
      <c r="E45" s="85"/>
      <c r="F45" s="313"/>
      <c r="G45" s="136"/>
    </row>
    <row r="46" spans="1:9" s="342" customFormat="1">
      <c r="A46" s="336"/>
      <c r="B46" s="344" t="s">
        <v>87</v>
      </c>
      <c r="C46" s="338" t="s">
        <v>62</v>
      </c>
      <c r="D46" s="338">
        <v>1</v>
      </c>
      <c r="E46" s="339">
        <f>800*3</f>
        <v>2400</v>
      </c>
      <c r="F46" s="339">
        <f>800*3</f>
        <v>2400</v>
      </c>
      <c r="G46" s="341">
        <f>D46*F46</f>
        <v>2400</v>
      </c>
      <c r="I46" s="356"/>
    </row>
    <row r="47" spans="1:9">
      <c r="A47" s="212"/>
      <c r="B47" s="149" t="s">
        <v>80</v>
      </c>
      <c r="C47" s="89" t="s">
        <v>62</v>
      </c>
      <c r="D47" s="88">
        <v>1</v>
      </c>
      <c r="E47" s="108">
        <v>15000</v>
      </c>
      <c r="F47" s="108">
        <v>15000</v>
      </c>
      <c r="G47" s="138">
        <f t="shared" ref="G47:G79" si="3">D47*F47</f>
        <v>15000</v>
      </c>
    </row>
    <row r="48" spans="1:9" s="342" customFormat="1">
      <c r="A48" s="336"/>
      <c r="B48" s="349" t="s">
        <v>88</v>
      </c>
      <c r="C48" s="338" t="s">
        <v>73</v>
      </c>
      <c r="D48" s="343">
        <f>1193*0.67/27*1.1</f>
        <v>32.564481481481486</v>
      </c>
      <c r="E48" s="339">
        <v>650</v>
      </c>
      <c r="F48" s="339">
        <v>650</v>
      </c>
      <c r="G48" s="341">
        <f t="shared" si="3"/>
        <v>21166.912962962968</v>
      </c>
      <c r="I48" s="356"/>
    </row>
    <row r="49" spans="1:9">
      <c r="A49" s="212"/>
      <c r="B49" s="151" t="s">
        <v>89</v>
      </c>
      <c r="C49" s="88" t="s">
        <v>90</v>
      </c>
      <c r="D49" s="88">
        <v>2</v>
      </c>
      <c r="E49" s="108">
        <v>2000</v>
      </c>
      <c r="F49" s="314">
        <f t="shared" ref="F49:F60" si="4">E49*1.2</f>
        <v>2400</v>
      </c>
      <c r="G49" s="138">
        <f t="shared" si="3"/>
        <v>4800</v>
      </c>
    </row>
    <row r="50" spans="1:9">
      <c r="A50" s="212"/>
      <c r="B50" s="152" t="s">
        <v>91</v>
      </c>
      <c r="C50" s="88"/>
      <c r="D50" s="88"/>
      <c r="E50" s="108"/>
      <c r="F50" s="314"/>
      <c r="G50" s="138">
        <f t="shared" si="3"/>
        <v>0</v>
      </c>
    </row>
    <row r="51" spans="1:9" s="342" customFormat="1" ht="27">
      <c r="A51" s="336"/>
      <c r="B51" s="348" t="s">
        <v>92</v>
      </c>
      <c r="C51" s="345" t="s">
        <v>71</v>
      </c>
      <c r="D51" s="343">
        <f>1193</f>
        <v>1193</v>
      </c>
      <c r="E51" s="347">
        <v>20</v>
      </c>
      <c r="F51" s="340">
        <f t="shared" si="4"/>
        <v>24</v>
      </c>
      <c r="G51" s="341">
        <f t="shared" si="3"/>
        <v>28632</v>
      </c>
      <c r="I51" s="356"/>
    </row>
    <row r="52" spans="1:9">
      <c r="A52" s="212"/>
      <c r="B52" s="152" t="s">
        <v>93</v>
      </c>
      <c r="C52" s="88"/>
      <c r="D52" s="88"/>
      <c r="E52" s="108"/>
      <c r="F52" s="314"/>
      <c r="G52" s="138">
        <f t="shared" si="3"/>
        <v>0</v>
      </c>
    </row>
    <row r="53" spans="1:9" s="342" customFormat="1">
      <c r="A53" s="336"/>
      <c r="B53" s="349" t="s">
        <v>94</v>
      </c>
      <c r="C53" s="338" t="s">
        <v>73</v>
      </c>
      <c r="D53" s="355">
        <f>7*10*1/27</f>
        <v>2.5925925925925926</v>
      </c>
      <c r="E53" s="339">
        <v>950</v>
      </c>
      <c r="F53" s="340">
        <f t="shared" si="4"/>
        <v>1140</v>
      </c>
      <c r="G53" s="341">
        <f t="shared" si="3"/>
        <v>2955.5555555555557</v>
      </c>
      <c r="I53" s="356"/>
    </row>
    <row r="54" spans="1:9" s="342" customFormat="1">
      <c r="A54" s="336"/>
      <c r="B54" s="349" t="s">
        <v>95</v>
      </c>
      <c r="C54" s="338" t="s">
        <v>73</v>
      </c>
      <c r="D54" s="355">
        <f t="shared" ref="D54:D56" si="5">7*10*1/27</f>
        <v>2.5925925925925926</v>
      </c>
      <c r="E54" s="339">
        <v>950</v>
      </c>
      <c r="F54" s="340">
        <f t="shared" si="4"/>
        <v>1140</v>
      </c>
      <c r="G54" s="341">
        <f t="shared" si="3"/>
        <v>2955.5555555555557</v>
      </c>
      <c r="I54" s="356"/>
    </row>
    <row r="55" spans="1:9" s="342" customFormat="1">
      <c r="A55" s="336"/>
      <c r="B55" s="349" t="s">
        <v>96</v>
      </c>
      <c r="C55" s="338" t="s">
        <v>73</v>
      </c>
      <c r="D55" s="355">
        <f>9*10*1/27</f>
        <v>3.3333333333333335</v>
      </c>
      <c r="E55" s="339">
        <v>950</v>
      </c>
      <c r="F55" s="340">
        <f t="shared" si="4"/>
        <v>1140</v>
      </c>
      <c r="G55" s="341">
        <f t="shared" si="3"/>
        <v>3800</v>
      </c>
      <c r="I55" s="356"/>
    </row>
    <row r="56" spans="1:9" s="342" customFormat="1">
      <c r="A56" s="336"/>
      <c r="B56" s="349" t="s">
        <v>97</v>
      </c>
      <c r="C56" s="338" t="s">
        <v>73</v>
      </c>
      <c r="D56" s="355">
        <f t="shared" si="5"/>
        <v>2.5925925925925926</v>
      </c>
      <c r="E56" s="339">
        <v>950</v>
      </c>
      <c r="F56" s="340">
        <f t="shared" si="4"/>
        <v>1140</v>
      </c>
      <c r="G56" s="341">
        <f t="shared" si="3"/>
        <v>2955.5555555555557</v>
      </c>
      <c r="I56" s="356"/>
    </row>
    <row r="57" spans="1:9" s="342" customFormat="1">
      <c r="A57" s="336"/>
      <c r="B57" s="349" t="s">
        <v>98</v>
      </c>
      <c r="C57" s="338" t="s">
        <v>73</v>
      </c>
      <c r="D57" s="355">
        <f>16*10*1/27</f>
        <v>5.9259259259259256</v>
      </c>
      <c r="E57" s="339">
        <v>950</v>
      </c>
      <c r="F57" s="340">
        <f t="shared" si="4"/>
        <v>1140</v>
      </c>
      <c r="G57" s="341">
        <f t="shared" si="3"/>
        <v>6755.5555555555547</v>
      </c>
      <c r="I57" s="356"/>
    </row>
    <row r="58" spans="1:9" s="342" customFormat="1">
      <c r="A58" s="336"/>
      <c r="B58" s="349" t="s">
        <v>99</v>
      </c>
      <c r="C58" s="338" t="s">
        <v>90</v>
      </c>
      <c r="D58" s="338">
        <v>6</v>
      </c>
      <c r="E58" s="339">
        <v>3500</v>
      </c>
      <c r="F58" s="340">
        <f t="shared" si="4"/>
        <v>4200</v>
      </c>
      <c r="G58" s="341">
        <f t="shared" si="3"/>
        <v>25200</v>
      </c>
      <c r="I58" s="356"/>
    </row>
    <row r="59" spans="1:9" s="342" customFormat="1">
      <c r="A59" s="336"/>
      <c r="B59" s="312" t="s">
        <v>100</v>
      </c>
      <c r="C59" s="338" t="s">
        <v>62</v>
      </c>
      <c r="D59" s="338">
        <v>1</v>
      </c>
      <c r="E59" s="339">
        <v>15000</v>
      </c>
      <c r="F59" s="340">
        <f t="shared" si="4"/>
        <v>18000</v>
      </c>
      <c r="G59" s="341">
        <f t="shared" si="3"/>
        <v>18000</v>
      </c>
      <c r="I59" s="356"/>
    </row>
    <row r="60" spans="1:9">
      <c r="A60" s="212"/>
      <c r="B60" s="153" t="s">
        <v>101</v>
      </c>
      <c r="C60" s="90" t="s">
        <v>73</v>
      </c>
      <c r="D60" s="250">
        <f>51*14*1/27*1.2</f>
        <v>31.733333333333331</v>
      </c>
      <c r="E60" s="109">
        <v>1050</v>
      </c>
      <c r="F60" s="314">
        <f t="shared" si="4"/>
        <v>1260</v>
      </c>
      <c r="G60" s="138">
        <f t="shared" si="3"/>
        <v>39984</v>
      </c>
    </row>
    <row r="61" spans="1:9">
      <c r="A61" s="212"/>
      <c r="B61" s="353" t="s">
        <v>102</v>
      </c>
      <c r="C61" s="88"/>
      <c r="D61" s="88"/>
      <c r="E61" s="108"/>
      <c r="F61" s="314"/>
      <c r="G61" s="138">
        <f t="shared" si="3"/>
        <v>0</v>
      </c>
    </row>
    <row r="62" spans="1:9">
      <c r="A62" s="212"/>
      <c r="B62" s="154" t="s">
        <v>103</v>
      </c>
      <c r="C62" s="90"/>
      <c r="D62" s="90"/>
      <c r="E62" s="109"/>
      <c r="F62" s="317"/>
      <c r="G62" s="138">
        <f t="shared" si="3"/>
        <v>0</v>
      </c>
    </row>
    <row r="63" spans="1:9">
      <c r="A63" s="212"/>
      <c r="B63" s="151" t="s">
        <v>104</v>
      </c>
      <c r="C63" s="88" t="s">
        <v>73</v>
      </c>
      <c r="D63" s="242">
        <f>(25*70)*0.67/27*1.1*8</f>
        <v>382.14814814814815</v>
      </c>
      <c r="E63" s="108">
        <v>1050</v>
      </c>
      <c r="F63" s="314">
        <f t="shared" ref="F63:F65" si="6">E63*1.2</f>
        <v>1260</v>
      </c>
      <c r="G63" s="138">
        <f t="shared" si="3"/>
        <v>481506.66666666669</v>
      </c>
    </row>
    <row r="64" spans="1:9" s="342" customFormat="1">
      <c r="A64" s="336"/>
      <c r="B64" s="349" t="s">
        <v>105</v>
      </c>
      <c r="C64" s="338" t="s">
        <v>73</v>
      </c>
      <c r="D64" s="338">
        <f>16*10*1/27*8</f>
        <v>47.407407407407405</v>
      </c>
      <c r="E64" s="339">
        <v>1050</v>
      </c>
      <c r="F64" s="340">
        <f t="shared" si="6"/>
        <v>1260</v>
      </c>
      <c r="G64" s="341">
        <f t="shared" si="3"/>
        <v>59733.333333333328</v>
      </c>
      <c r="I64" s="356"/>
    </row>
    <row r="65" spans="1:7">
      <c r="A65" s="212"/>
      <c r="B65" s="151" t="s">
        <v>99</v>
      </c>
      <c r="C65" s="88" t="s">
        <v>90</v>
      </c>
      <c r="D65" s="88">
        <f>6*8</f>
        <v>48</v>
      </c>
      <c r="E65" s="108">
        <v>3500</v>
      </c>
      <c r="F65" s="314">
        <f t="shared" si="6"/>
        <v>4200</v>
      </c>
      <c r="G65" s="138">
        <f t="shared" si="3"/>
        <v>201600</v>
      </c>
    </row>
    <row r="66" spans="1:7">
      <c r="A66" s="212"/>
      <c r="B66" s="151"/>
      <c r="C66" s="88"/>
      <c r="D66" s="88"/>
      <c r="E66" s="108"/>
      <c r="F66" s="314"/>
      <c r="G66" s="138">
        <f t="shared" si="3"/>
        <v>0</v>
      </c>
    </row>
    <row r="67" spans="1:7">
      <c r="A67" s="212"/>
      <c r="B67" s="354" t="s">
        <v>106</v>
      </c>
      <c r="C67" s="88"/>
      <c r="D67" s="85"/>
      <c r="E67" s="110"/>
      <c r="F67" s="248"/>
      <c r="G67" s="138">
        <f t="shared" si="3"/>
        <v>0</v>
      </c>
    </row>
    <row r="68" spans="1:7">
      <c r="A68" s="212"/>
      <c r="B68" s="148" t="s">
        <v>107</v>
      </c>
      <c r="C68" s="88" t="s">
        <v>68</v>
      </c>
      <c r="D68" s="85">
        <v>30</v>
      </c>
      <c r="E68" s="110">
        <v>75</v>
      </c>
      <c r="F68" s="314">
        <f t="shared" ref="F68:F79" si="7">E68*1.2</f>
        <v>90</v>
      </c>
      <c r="G68" s="138">
        <f t="shared" si="3"/>
        <v>2700</v>
      </c>
    </row>
    <row r="69" spans="1:7">
      <c r="A69" s="212"/>
      <c r="B69" s="148" t="s">
        <v>108</v>
      </c>
      <c r="C69" s="88" t="s">
        <v>71</v>
      </c>
      <c r="D69" s="85">
        <f>396*1.1</f>
        <v>435.6</v>
      </c>
      <c r="E69" s="110">
        <v>35</v>
      </c>
      <c r="F69" s="314">
        <f t="shared" si="7"/>
        <v>42</v>
      </c>
      <c r="G69" s="138">
        <f t="shared" si="3"/>
        <v>18295.2</v>
      </c>
    </row>
    <row r="70" spans="1:7">
      <c r="A70" s="212"/>
      <c r="B70" s="148" t="s">
        <v>109</v>
      </c>
      <c r="C70" s="88" t="s">
        <v>71</v>
      </c>
      <c r="D70" s="85">
        <v>167</v>
      </c>
      <c r="E70" s="110">
        <v>25</v>
      </c>
      <c r="F70" s="314">
        <f t="shared" si="7"/>
        <v>30</v>
      </c>
      <c r="G70" s="138">
        <f t="shared" si="3"/>
        <v>5010</v>
      </c>
    </row>
    <row r="71" spans="1:7">
      <c r="A71" s="212"/>
      <c r="B71" s="148" t="s">
        <v>110</v>
      </c>
      <c r="C71" s="88" t="s">
        <v>71</v>
      </c>
      <c r="D71" s="85">
        <f>30*4</f>
        <v>120</v>
      </c>
      <c r="E71" s="110">
        <v>24</v>
      </c>
      <c r="F71" s="314">
        <f t="shared" si="7"/>
        <v>28.799999999999997</v>
      </c>
      <c r="G71" s="138">
        <f t="shared" si="3"/>
        <v>3455.9999999999995</v>
      </c>
    </row>
    <row r="72" spans="1:7">
      <c r="A72" s="212"/>
      <c r="B72" s="148" t="s">
        <v>111</v>
      </c>
      <c r="C72" s="88" t="s">
        <v>73</v>
      </c>
      <c r="D72" s="192">
        <v>4.5</v>
      </c>
      <c r="E72" s="110">
        <v>1000</v>
      </c>
      <c r="F72" s="314">
        <f t="shared" si="7"/>
        <v>1200</v>
      </c>
      <c r="G72" s="138">
        <f>D72*F72</f>
        <v>5400</v>
      </c>
    </row>
    <row r="73" spans="1:7">
      <c r="A73" s="212"/>
      <c r="B73" s="148" t="s">
        <v>112</v>
      </c>
      <c r="C73" s="88" t="s">
        <v>71</v>
      </c>
      <c r="D73" s="192">
        <v>127</v>
      </c>
      <c r="E73" s="110">
        <v>45</v>
      </c>
      <c r="F73" s="314">
        <f t="shared" si="7"/>
        <v>54</v>
      </c>
      <c r="G73" s="138">
        <f t="shared" si="3"/>
        <v>6858</v>
      </c>
    </row>
    <row r="74" spans="1:7">
      <c r="A74" s="212"/>
      <c r="B74" s="155" t="s">
        <v>113</v>
      </c>
      <c r="C74" s="88"/>
      <c r="D74" s="85"/>
      <c r="E74" s="110"/>
      <c r="F74" s="314"/>
      <c r="G74" s="138"/>
    </row>
    <row r="75" spans="1:7">
      <c r="A75" s="212"/>
      <c r="B75" s="148" t="s">
        <v>114</v>
      </c>
      <c r="C75" s="88" t="s">
        <v>90</v>
      </c>
      <c r="D75" s="85">
        <v>1</v>
      </c>
      <c r="E75" s="110">
        <v>4000</v>
      </c>
      <c r="F75" s="314">
        <f t="shared" si="7"/>
        <v>4800</v>
      </c>
      <c r="G75" s="138">
        <f>D75*F75</f>
        <v>4800</v>
      </c>
    </row>
    <row r="76" spans="1:7">
      <c r="A76" s="212"/>
      <c r="B76" s="148" t="s">
        <v>115</v>
      </c>
      <c r="C76" s="88" t="s">
        <v>90</v>
      </c>
      <c r="D76" s="85">
        <v>1</v>
      </c>
      <c r="E76" s="110">
        <v>4000</v>
      </c>
      <c r="F76" s="314">
        <f t="shared" si="7"/>
        <v>4800</v>
      </c>
      <c r="G76" s="138">
        <f t="shared" si="3"/>
        <v>4800</v>
      </c>
    </row>
    <row r="77" spans="1:7">
      <c r="A77" s="212"/>
      <c r="B77" s="148" t="s">
        <v>116</v>
      </c>
      <c r="C77" s="88" t="s">
        <v>90</v>
      </c>
      <c r="D77" s="85">
        <v>1</v>
      </c>
      <c r="E77" s="110">
        <v>1500</v>
      </c>
      <c r="F77" s="314">
        <f t="shared" si="7"/>
        <v>1800</v>
      </c>
      <c r="G77" s="138">
        <f t="shared" si="3"/>
        <v>1800</v>
      </c>
    </row>
    <row r="78" spans="1:7">
      <c r="A78" s="212"/>
      <c r="B78" s="148" t="s">
        <v>117</v>
      </c>
      <c r="C78" s="88" t="s">
        <v>90</v>
      </c>
      <c r="D78" s="85">
        <v>1</v>
      </c>
      <c r="E78" s="110">
        <v>2500</v>
      </c>
      <c r="F78" s="314">
        <f t="shared" si="7"/>
        <v>3000</v>
      </c>
      <c r="G78" s="138">
        <f t="shared" si="3"/>
        <v>3000</v>
      </c>
    </row>
    <row r="79" spans="1:7">
      <c r="A79" s="212"/>
      <c r="B79" s="148" t="s">
        <v>118</v>
      </c>
      <c r="C79" s="88" t="s">
        <v>90</v>
      </c>
      <c r="D79" s="85">
        <v>1</v>
      </c>
      <c r="E79" s="110">
        <v>3000</v>
      </c>
      <c r="F79" s="314">
        <f t="shared" si="7"/>
        <v>3600</v>
      </c>
      <c r="G79" s="138">
        <f t="shared" si="3"/>
        <v>3600</v>
      </c>
    </row>
    <row r="80" spans="1:7">
      <c r="A80" s="212"/>
      <c r="B80" s="148"/>
      <c r="C80" s="86"/>
      <c r="D80" s="85"/>
      <c r="E80" s="87"/>
      <c r="F80" s="316"/>
      <c r="G80" s="138"/>
    </row>
    <row r="81" spans="1:8">
      <c r="A81" s="212" t="s">
        <v>48</v>
      </c>
      <c r="B81" s="287" t="s">
        <v>75</v>
      </c>
      <c r="C81" s="86"/>
      <c r="D81" s="85"/>
      <c r="E81" s="87"/>
      <c r="F81" s="316"/>
      <c r="G81" s="137"/>
      <c r="H81" s="241">
        <f>SUM(G46:G80)</f>
        <v>977164.33518518519</v>
      </c>
    </row>
    <row r="82" spans="1:8" ht="28.5" customHeight="1" thickBot="1">
      <c r="A82" s="213" t="s">
        <v>44</v>
      </c>
      <c r="B82" s="84" t="s">
        <v>53</v>
      </c>
      <c r="C82" s="84" t="s">
        <v>55</v>
      </c>
      <c r="D82" s="4" t="s">
        <v>54</v>
      </c>
      <c r="E82" s="84" t="s">
        <v>56</v>
      </c>
      <c r="F82" s="84" t="s">
        <v>56</v>
      </c>
      <c r="G82" s="84" t="s">
        <v>57</v>
      </c>
      <c r="H82" s="7" t="s">
        <v>48</v>
      </c>
    </row>
    <row r="83" spans="1:8" ht="15" thickTop="1">
      <c r="A83" s="212"/>
      <c r="B83" s="146"/>
      <c r="C83" s="85"/>
      <c r="D83" s="85"/>
      <c r="E83" s="85"/>
      <c r="F83" s="313"/>
      <c r="G83" s="136"/>
      <c r="H83" s="5"/>
    </row>
    <row r="84" spans="1:8">
      <c r="A84" s="212" t="s">
        <v>119</v>
      </c>
      <c r="B84" s="232" t="s">
        <v>120</v>
      </c>
      <c r="C84" s="85"/>
      <c r="D84" s="85"/>
      <c r="E84" s="85"/>
      <c r="F84" s="313"/>
      <c r="G84" s="136"/>
    </row>
    <row r="85" spans="1:8">
      <c r="A85" s="212"/>
      <c r="B85" s="146"/>
      <c r="C85" s="86"/>
      <c r="D85" s="85"/>
      <c r="E85" s="110"/>
      <c r="F85" s="248"/>
      <c r="G85" s="137"/>
    </row>
    <row r="86" spans="1:8">
      <c r="A86" s="212"/>
      <c r="B86" s="148" t="s">
        <v>121</v>
      </c>
      <c r="C86" s="92" t="s">
        <v>62</v>
      </c>
      <c r="D86" s="85">
        <v>1</v>
      </c>
      <c r="E86" s="87">
        <v>15000</v>
      </c>
      <c r="F86" s="314">
        <f t="shared" ref="F86" si="8">E86*1.2</f>
        <v>18000</v>
      </c>
      <c r="G86" s="138">
        <f t="shared" ref="G86" si="9">D86*F86</f>
        <v>18000</v>
      </c>
    </row>
    <row r="87" spans="1:8">
      <c r="A87" s="212"/>
      <c r="B87" s="148"/>
      <c r="C87" s="86"/>
      <c r="D87" s="85"/>
      <c r="E87" s="110"/>
      <c r="F87" s="248"/>
      <c r="G87" s="137"/>
    </row>
    <row r="88" spans="1:8">
      <c r="A88" s="212"/>
      <c r="B88" s="191"/>
      <c r="C88" s="86"/>
      <c r="D88" s="85"/>
      <c r="E88" s="110"/>
      <c r="F88" s="248"/>
      <c r="G88" s="137"/>
    </row>
    <row r="89" spans="1:8">
      <c r="A89" s="212"/>
      <c r="B89" s="278"/>
      <c r="C89" s="92"/>
      <c r="D89" s="85"/>
      <c r="E89" s="110"/>
      <c r="F89" s="248"/>
      <c r="G89" s="137"/>
    </row>
    <row r="90" spans="1:8">
      <c r="A90" s="212" t="s">
        <v>48</v>
      </c>
      <c r="B90" s="287" t="s">
        <v>75</v>
      </c>
      <c r="C90" s="86"/>
      <c r="D90" s="85"/>
      <c r="E90" s="110"/>
      <c r="F90" s="248"/>
      <c r="G90" s="137"/>
      <c r="H90" s="241">
        <f>SUM(G84:G87)</f>
        <v>18000</v>
      </c>
    </row>
    <row r="91" spans="1:8" ht="28.5" customHeight="1" thickBot="1">
      <c r="A91" s="213" t="s">
        <v>44</v>
      </c>
      <c r="B91" s="84" t="s">
        <v>53</v>
      </c>
      <c r="C91" s="84" t="s">
        <v>55</v>
      </c>
      <c r="D91" s="4" t="s">
        <v>54</v>
      </c>
      <c r="E91" s="84" t="s">
        <v>56</v>
      </c>
      <c r="F91" s="84" t="s">
        <v>56</v>
      </c>
      <c r="G91" s="84" t="s">
        <v>57</v>
      </c>
      <c r="H91" s="7" t="s">
        <v>48</v>
      </c>
    </row>
    <row r="92" spans="1:8" ht="15" thickTop="1">
      <c r="A92" s="212"/>
      <c r="B92" s="146"/>
      <c r="C92" s="85"/>
      <c r="D92" s="85"/>
      <c r="E92" s="85"/>
      <c r="F92" s="313"/>
      <c r="G92" s="136"/>
      <c r="H92" s="5"/>
    </row>
    <row r="93" spans="1:8">
      <c r="A93" s="212" t="s">
        <v>122</v>
      </c>
      <c r="B93" s="232" t="s">
        <v>123</v>
      </c>
      <c r="C93" s="85"/>
      <c r="D93" s="85"/>
      <c r="E93" s="85"/>
      <c r="F93" s="313"/>
      <c r="G93" s="136"/>
    </row>
    <row r="94" spans="1:8">
      <c r="A94" s="212"/>
      <c r="B94" s="146" t="s">
        <v>124</v>
      </c>
      <c r="C94" s="86" t="s">
        <v>71</v>
      </c>
      <c r="D94" s="85">
        <f>(70*10*7)+(12*10)+(15*4)</f>
        <v>5080</v>
      </c>
      <c r="E94" s="110">
        <v>25</v>
      </c>
      <c r="F94" s="314">
        <f t="shared" ref="F94" si="10">E94*1.2</f>
        <v>30</v>
      </c>
      <c r="G94" s="138">
        <f t="shared" ref="G94" si="11">D94*F94</f>
        <v>152400</v>
      </c>
    </row>
    <row r="95" spans="1:8">
      <c r="A95" s="212"/>
      <c r="B95" s="155" t="s">
        <v>125</v>
      </c>
      <c r="C95" s="92"/>
      <c r="D95" s="85"/>
      <c r="E95" s="87"/>
      <c r="F95" s="316"/>
      <c r="G95" s="137"/>
    </row>
    <row r="96" spans="1:8">
      <c r="A96" s="212"/>
      <c r="B96" s="148" t="s">
        <v>126</v>
      </c>
      <c r="C96" s="86" t="s">
        <v>71</v>
      </c>
      <c r="D96" s="85">
        <f>3163+70</f>
        <v>3233</v>
      </c>
      <c r="E96" s="110">
        <v>20</v>
      </c>
      <c r="F96" s="314">
        <f t="shared" ref="F96" si="12">E96*1.2</f>
        <v>24</v>
      </c>
      <c r="G96" s="138">
        <f>D96*F96</f>
        <v>77592</v>
      </c>
    </row>
    <row r="97" spans="1:8">
      <c r="A97" s="212"/>
      <c r="B97" s="191"/>
      <c r="C97" s="86"/>
      <c r="D97" s="85"/>
      <c r="E97" s="110"/>
      <c r="F97" s="248"/>
      <c r="G97" s="137">
        <f t="shared" ref="G97" si="13">D97*E97</f>
        <v>0</v>
      </c>
    </row>
    <row r="98" spans="1:8">
      <c r="A98" s="212"/>
      <c r="B98" s="278"/>
      <c r="C98" s="92"/>
      <c r="D98" s="85"/>
      <c r="E98" s="110"/>
      <c r="F98" s="248"/>
      <c r="G98" s="137"/>
    </row>
    <row r="99" spans="1:8">
      <c r="A99" s="212" t="s">
        <v>48</v>
      </c>
      <c r="B99" s="287" t="s">
        <v>75</v>
      </c>
      <c r="C99" s="86"/>
      <c r="D99" s="85"/>
      <c r="E99" s="110"/>
      <c r="F99" s="248"/>
      <c r="G99" s="137"/>
      <c r="H99" s="241">
        <f>SUM(G93:G96)</f>
        <v>229992</v>
      </c>
    </row>
    <row r="100" spans="1:8" ht="28.5" customHeight="1" thickBot="1">
      <c r="A100" s="213" t="s">
        <v>44</v>
      </c>
      <c r="B100" s="84" t="s">
        <v>53</v>
      </c>
      <c r="C100" s="84" t="s">
        <v>54</v>
      </c>
      <c r="D100" s="4" t="s">
        <v>55</v>
      </c>
      <c r="E100" s="112" t="s">
        <v>56</v>
      </c>
      <c r="F100" s="84" t="s">
        <v>56</v>
      </c>
      <c r="G100" s="84" t="s">
        <v>57</v>
      </c>
      <c r="H100" s="7" t="s">
        <v>48</v>
      </c>
    </row>
    <row r="101" spans="1:8" ht="15" thickTop="1">
      <c r="A101" s="212"/>
      <c r="B101" s="146"/>
      <c r="C101" s="85"/>
      <c r="D101" s="85"/>
      <c r="E101" s="113"/>
      <c r="F101" s="318"/>
      <c r="G101" s="136"/>
      <c r="H101" s="5"/>
    </row>
    <row r="102" spans="1:8">
      <c r="A102" s="212" t="s">
        <v>127</v>
      </c>
      <c r="B102" s="232" t="s">
        <v>128</v>
      </c>
      <c r="C102" s="85"/>
      <c r="D102" s="85"/>
      <c r="E102" s="113"/>
      <c r="F102" s="318"/>
      <c r="G102" s="136"/>
    </row>
    <row r="103" spans="1:8">
      <c r="A103" s="212"/>
      <c r="B103" s="148" t="s">
        <v>129</v>
      </c>
      <c r="C103" s="92" t="s">
        <v>68</v>
      </c>
      <c r="D103" s="85">
        <f>8*32</f>
        <v>256</v>
      </c>
      <c r="E103" s="110">
        <v>95</v>
      </c>
      <c r="F103" s="314">
        <f t="shared" ref="F103:F110" si="14">E103*1.2</f>
        <v>114</v>
      </c>
      <c r="G103" s="138">
        <f>D103*F103</f>
        <v>29184</v>
      </c>
    </row>
    <row r="104" spans="1:8">
      <c r="A104" s="212"/>
      <c r="B104" s="148" t="s">
        <v>130</v>
      </c>
      <c r="C104" s="92" t="s">
        <v>68</v>
      </c>
      <c r="D104" s="85">
        <v>32</v>
      </c>
      <c r="E104" s="110">
        <v>95</v>
      </c>
      <c r="F104" s="314">
        <f t="shared" si="14"/>
        <v>114</v>
      </c>
      <c r="G104" s="138">
        <f t="shared" ref="G104:G109" si="15">D104*F104</f>
        <v>3648</v>
      </c>
    </row>
    <row r="105" spans="1:8">
      <c r="A105" s="212"/>
      <c r="B105" s="148" t="s">
        <v>131</v>
      </c>
      <c r="C105" s="92" t="s">
        <v>68</v>
      </c>
      <c r="D105" s="85">
        <f>D103</f>
        <v>256</v>
      </c>
      <c r="E105" s="110">
        <v>200</v>
      </c>
      <c r="F105" s="314">
        <f t="shared" si="14"/>
        <v>240</v>
      </c>
      <c r="G105" s="138">
        <f t="shared" si="15"/>
        <v>61440</v>
      </c>
    </row>
    <row r="106" spans="1:8">
      <c r="A106" s="212"/>
      <c r="B106" s="148" t="s">
        <v>132</v>
      </c>
      <c r="C106" s="92" t="s">
        <v>68</v>
      </c>
      <c r="D106" s="85">
        <v>32</v>
      </c>
      <c r="E106" s="110">
        <v>200</v>
      </c>
      <c r="F106" s="314">
        <f t="shared" si="14"/>
        <v>240</v>
      </c>
      <c r="G106" s="138">
        <f t="shared" si="15"/>
        <v>7680</v>
      </c>
    </row>
    <row r="107" spans="1:8">
      <c r="A107" s="212"/>
      <c r="B107" s="148" t="s">
        <v>133</v>
      </c>
      <c r="C107" s="92" t="s">
        <v>62</v>
      </c>
      <c r="D107" s="85">
        <v>1</v>
      </c>
      <c r="E107" s="110">
        <v>6000</v>
      </c>
      <c r="F107" s="314">
        <f t="shared" si="14"/>
        <v>7200</v>
      </c>
      <c r="G107" s="138">
        <f t="shared" si="15"/>
        <v>7200</v>
      </c>
    </row>
    <row r="108" spans="1:8">
      <c r="A108" s="212"/>
      <c r="B108" s="148" t="s">
        <v>134</v>
      </c>
      <c r="C108" s="92" t="s">
        <v>62</v>
      </c>
      <c r="D108" s="85">
        <v>1</v>
      </c>
      <c r="E108" s="110">
        <v>6000</v>
      </c>
      <c r="F108" s="314">
        <f t="shared" si="14"/>
        <v>7200</v>
      </c>
      <c r="G108" s="138">
        <f t="shared" si="15"/>
        <v>7200</v>
      </c>
    </row>
    <row r="109" spans="1:8">
      <c r="A109" s="212"/>
      <c r="B109" s="148" t="s">
        <v>135</v>
      </c>
      <c r="C109" s="92" t="s">
        <v>62</v>
      </c>
      <c r="D109" s="85">
        <v>1</v>
      </c>
      <c r="E109" s="110">
        <v>5000</v>
      </c>
      <c r="F109" s="314">
        <f t="shared" si="14"/>
        <v>6000</v>
      </c>
      <c r="G109" s="138">
        <f t="shared" si="15"/>
        <v>6000</v>
      </c>
    </row>
    <row r="110" spans="1:8">
      <c r="A110" s="212"/>
      <c r="B110" s="148" t="s">
        <v>136</v>
      </c>
      <c r="C110" s="86" t="s">
        <v>62</v>
      </c>
      <c r="D110" s="85">
        <v>1</v>
      </c>
      <c r="E110" s="110">
        <v>4500</v>
      </c>
      <c r="F110" s="314">
        <f t="shared" si="14"/>
        <v>5400</v>
      </c>
      <c r="G110" s="138">
        <f>D110*F110</f>
        <v>5400</v>
      </c>
    </row>
    <row r="111" spans="1:8">
      <c r="A111" s="212"/>
      <c r="B111" s="287" t="s">
        <v>75</v>
      </c>
      <c r="C111" s="86"/>
      <c r="D111" s="85"/>
      <c r="E111" s="110"/>
      <c r="F111" s="248"/>
      <c r="G111" s="137"/>
      <c r="H111" s="241">
        <f>SUM(G103:G110)</f>
        <v>127752</v>
      </c>
    </row>
    <row r="112" spans="1:8" ht="28.5" customHeight="1" thickBot="1">
      <c r="A112" s="213" t="s">
        <v>44</v>
      </c>
      <c r="B112" s="84" t="s">
        <v>53</v>
      </c>
      <c r="C112" s="84" t="s">
        <v>54</v>
      </c>
      <c r="D112" s="4" t="s">
        <v>55</v>
      </c>
      <c r="E112" s="112" t="s">
        <v>56</v>
      </c>
      <c r="F112" s="84" t="s">
        <v>56</v>
      </c>
      <c r="G112" s="84" t="s">
        <v>57</v>
      </c>
      <c r="H112" s="7" t="s">
        <v>48</v>
      </c>
    </row>
    <row r="113" spans="1:8" ht="15" thickTop="1">
      <c r="A113" s="212"/>
      <c r="B113" s="146"/>
      <c r="C113" s="85"/>
      <c r="D113" s="85"/>
      <c r="E113" s="113"/>
      <c r="F113" s="318"/>
      <c r="G113" s="136"/>
      <c r="H113" s="5"/>
    </row>
    <row r="114" spans="1:8">
      <c r="A114" s="212" t="s">
        <v>137</v>
      </c>
      <c r="B114" s="232" t="s">
        <v>138</v>
      </c>
      <c r="C114" s="85"/>
      <c r="D114" s="85"/>
      <c r="E114" s="113"/>
      <c r="F114" s="318"/>
      <c r="G114" s="136"/>
    </row>
    <row r="115" spans="1:8">
      <c r="A115" s="212"/>
      <c r="B115" s="155"/>
      <c r="C115" s="86"/>
      <c r="D115" s="85"/>
      <c r="E115" s="110"/>
      <c r="F115" s="248"/>
      <c r="G115" s="137"/>
    </row>
    <row r="116" spans="1:8">
      <c r="A116" s="212"/>
      <c r="B116" s="158"/>
      <c r="C116" s="86"/>
      <c r="D116" s="276"/>
      <c r="E116" s="110"/>
      <c r="F116" s="248"/>
      <c r="G116" s="137"/>
    </row>
    <row r="117" spans="1:8">
      <c r="A117" s="212"/>
      <c r="B117" s="148" t="s">
        <v>139</v>
      </c>
      <c r="C117" s="86" t="s">
        <v>90</v>
      </c>
      <c r="D117" s="335">
        <v>7</v>
      </c>
      <c r="E117" s="110">
        <v>18000</v>
      </c>
      <c r="F117" s="314">
        <f t="shared" ref="F117:F118" si="16">E117*1.2</f>
        <v>21600</v>
      </c>
      <c r="G117" s="138">
        <f>D117*F117</f>
        <v>151200</v>
      </c>
    </row>
    <row r="118" spans="1:8">
      <c r="A118" s="212"/>
      <c r="B118" s="148" t="s">
        <v>140</v>
      </c>
      <c r="C118" s="86" t="s">
        <v>90</v>
      </c>
      <c r="D118" s="335">
        <v>7</v>
      </c>
      <c r="E118" s="110">
        <v>1200</v>
      </c>
      <c r="F118" s="314">
        <f t="shared" si="16"/>
        <v>1440</v>
      </c>
      <c r="G118" s="138">
        <f>D118*F118</f>
        <v>10080</v>
      </c>
    </row>
    <row r="119" spans="1:8">
      <c r="A119" s="212"/>
      <c r="B119" s="148"/>
      <c r="C119" s="86"/>
      <c r="D119" s="85"/>
      <c r="E119" s="110"/>
      <c r="F119" s="248"/>
      <c r="G119" s="137"/>
    </row>
    <row r="120" spans="1:8">
      <c r="A120" s="212" t="s">
        <v>48</v>
      </c>
      <c r="B120" s="287" t="s">
        <v>75</v>
      </c>
      <c r="C120" s="86"/>
      <c r="D120" s="85"/>
      <c r="E120" s="110"/>
      <c r="F120" s="248"/>
      <c r="G120" s="137"/>
      <c r="H120" s="241">
        <f>SUM(G116:G119)</f>
        <v>161280</v>
      </c>
    </row>
    <row r="121" spans="1:8" ht="28.5" customHeight="1" thickBot="1">
      <c r="A121" s="213" t="s">
        <v>44</v>
      </c>
      <c r="B121" s="84" t="s">
        <v>53</v>
      </c>
      <c r="C121" s="84" t="s">
        <v>54</v>
      </c>
      <c r="D121" s="4" t="s">
        <v>55</v>
      </c>
      <c r="E121" s="84" t="s">
        <v>56</v>
      </c>
      <c r="F121" s="84" t="s">
        <v>56</v>
      </c>
      <c r="G121" s="84" t="s">
        <v>57</v>
      </c>
      <c r="H121" s="7" t="s">
        <v>48</v>
      </c>
    </row>
    <row r="122" spans="1:8" ht="15" thickTop="1">
      <c r="A122" s="212"/>
      <c r="B122" s="146"/>
      <c r="C122" s="85"/>
      <c r="D122" s="85"/>
      <c r="E122" s="85"/>
      <c r="F122" s="313"/>
      <c r="G122" s="136"/>
      <c r="H122" s="5"/>
    </row>
    <row r="123" spans="1:8" ht="15.6">
      <c r="A123" s="212" t="s">
        <v>141</v>
      </c>
      <c r="B123" s="235" t="s">
        <v>142</v>
      </c>
      <c r="C123" s="199"/>
      <c r="D123" s="85"/>
      <c r="E123" s="85"/>
      <c r="F123" s="313"/>
      <c r="G123" s="136"/>
    </row>
    <row r="124" spans="1:8">
      <c r="A124" s="157"/>
      <c r="B124" s="160"/>
      <c r="C124" s="86"/>
      <c r="D124" s="85"/>
      <c r="E124" s="87"/>
      <c r="F124" s="316"/>
      <c r="G124" s="137"/>
      <c r="H124" s="80"/>
    </row>
    <row r="125" spans="1:8">
      <c r="A125" s="157"/>
      <c r="B125" s="159" t="s">
        <v>143</v>
      </c>
      <c r="C125" s="86" t="s">
        <v>90</v>
      </c>
      <c r="D125" s="85">
        <v>14</v>
      </c>
      <c r="E125" s="87">
        <v>500</v>
      </c>
      <c r="F125" s="314">
        <f t="shared" ref="F125:F126" si="17">E125*1.35</f>
        <v>675</v>
      </c>
      <c r="G125" s="138">
        <f>D125*F125</f>
        <v>9450</v>
      </c>
      <c r="H125" s="80"/>
    </row>
    <row r="126" spans="1:8">
      <c r="A126" s="157"/>
      <c r="B126" s="159" t="s">
        <v>144</v>
      </c>
      <c r="C126" s="86" t="s">
        <v>90</v>
      </c>
      <c r="D126" s="85">
        <v>6</v>
      </c>
      <c r="E126" s="87">
        <v>400</v>
      </c>
      <c r="F126" s="314">
        <f t="shared" si="17"/>
        <v>540</v>
      </c>
      <c r="G126" s="138">
        <f>D126*F126</f>
        <v>3240</v>
      </c>
      <c r="H126" s="80"/>
    </row>
    <row r="127" spans="1:8">
      <c r="A127" s="283"/>
      <c r="B127" s="284"/>
      <c r="C127" s="86"/>
      <c r="D127" s="85"/>
      <c r="E127" s="87"/>
      <c r="F127" s="316"/>
      <c r="G127" s="137"/>
      <c r="H127" s="80"/>
    </row>
    <row r="128" spans="1:8">
      <c r="A128" s="283"/>
      <c r="B128" s="284"/>
      <c r="C128" s="86"/>
      <c r="D128" s="85"/>
      <c r="E128" s="87"/>
      <c r="F128" s="316"/>
      <c r="G128" s="137"/>
      <c r="H128" s="80"/>
    </row>
    <row r="129" spans="1:8">
      <c r="A129" s="212"/>
      <c r="B129" s="148"/>
      <c r="C129" s="86"/>
      <c r="D129" s="85"/>
      <c r="E129" s="87"/>
      <c r="F129" s="316"/>
      <c r="G129" s="137"/>
      <c r="H129" s="80"/>
    </row>
    <row r="130" spans="1:8">
      <c r="A130" s="212" t="s">
        <v>48</v>
      </c>
      <c r="B130" s="287" t="s">
        <v>75</v>
      </c>
      <c r="C130" s="86"/>
      <c r="D130" s="85"/>
      <c r="E130" s="87"/>
      <c r="F130" s="316"/>
      <c r="G130" s="121"/>
      <c r="H130" s="286">
        <f>SUM(G125:G129)</f>
        <v>12690</v>
      </c>
    </row>
    <row r="131" spans="1:8" ht="28.5" customHeight="1" thickBot="1">
      <c r="A131" s="213" t="s">
        <v>44</v>
      </c>
      <c r="B131" s="84" t="s">
        <v>53</v>
      </c>
      <c r="C131" s="84" t="s">
        <v>54</v>
      </c>
      <c r="D131" s="4" t="s">
        <v>55</v>
      </c>
      <c r="E131" s="84" t="s">
        <v>56</v>
      </c>
      <c r="F131" s="84" t="s">
        <v>56</v>
      </c>
      <c r="G131" s="84" t="s">
        <v>57</v>
      </c>
      <c r="H131" s="7" t="s">
        <v>48</v>
      </c>
    </row>
    <row r="132" spans="1:8" ht="15" thickTop="1">
      <c r="A132" s="212"/>
      <c r="B132" s="146"/>
      <c r="C132" s="85"/>
      <c r="D132" s="85"/>
      <c r="E132" s="186"/>
      <c r="F132" s="319"/>
      <c r="G132" s="198"/>
      <c r="H132" s="129"/>
    </row>
    <row r="133" spans="1:8" ht="15.6">
      <c r="A133" s="212" t="s">
        <v>145</v>
      </c>
      <c r="B133" s="235" t="s">
        <v>146</v>
      </c>
      <c r="C133" s="197"/>
      <c r="D133" s="106"/>
      <c r="E133" s="185"/>
      <c r="F133" s="319"/>
      <c r="G133" s="14"/>
    </row>
    <row r="134" spans="1:8">
      <c r="A134" s="157"/>
      <c r="B134" s="161"/>
      <c r="C134" s="126"/>
      <c r="D134" s="16"/>
      <c r="E134" s="122"/>
      <c r="F134" s="319"/>
      <c r="G134" s="139"/>
    </row>
    <row r="135" spans="1:8">
      <c r="A135" s="212"/>
      <c r="B135" s="166" t="s">
        <v>147</v>
      </c>
      <c r="C135" s="94"/>
      <c r="D135" s="192"/>
      <c r="E135" s="110"/>
      <c r="F135" s="248"/>
      <c r="G135" s="142"/>
    </row>
    <row r="136" spans="1:8" ht="18.75" customHeight="1">
      <c r="A136" s="212"/>
      <c r="B136" s="148" t="s">
        <v>148</v>
      </c>
      <c r="C136" s="86" t="s">
        <v>71</v>
      </c>
      <c r="D136" s="85">
        <v>764</v>
      </c>
      <c r="E136" s="110">
        <v>80</v>
      </c>
      <c r="F136" s="314">
        <f t="shared" ref="F136:F137" si="18">E136*1.35</f>
        <v>108</v>
      </c>
      <c r="G136" s="138">
        <f>D136*F136</f>
        <v>82512</v>
      </c>
    </row>
    <row r="137" spans="1:8" ht="18.75" customHeight="1">
      <c r="A137" s="212"/>
      <c r="B137" s="148" t="s">
        <v>149</v>
      </c>
      <c r="C137" s="86" t="s">
        <v>71</v>
      </c>
      <c r="D137" s="85">
        <v>85</v>
      </c>
      <c r="E137" s="110">
        <v>75</v>
      </c>
      <c r="F137" s="314">
        <f t="shared" si="18"/>
        <v>101.25</v>
      </c>
      <c r="G137" s="138">
        <f>D137*F137</f>
        <v>8606.25</v>
      </c>
    </row>
    <row r="138" spans="1:8" ht="18" customHeight="1">
      <c r="A138" s="212"/>
      <c r="B138" s="155" t="s">
        <v>150</v>
      </c>
      <c r="C138" s="86"/>
      <c r="D138" s="85"/>
      <c r="E138" s="110"/>
      <c r="F138" s="248"/>
      <c r="G138" s="137"/>
      <c r="H138" s="277"/>
    </row>
    <row r="139" spans="1:8">
      <c r="A139" s="212"/>
      <c r="B139" s="148" t="s">
        <v>151</v>
      </c>
      <c r="C139" s="86" t="s">
        <v>71</v>
      </c>
      <c r="D139" s="85">
        <v>86</v>
      </c>
      <c r="E139" s="110">
        <v>80</v>
      </c>
      <c r="F139" s="314">
        <f t="shared" ref="F139:F141" si="19">E139*1.35</f>
        <v>108</v>
      </c>
      <c r="G139" s="138">
        <f>D139*F139</f>
        <v>9288</v>
      </c>
    </row>
    <row r="140" spans="1:8" ht="18.75" customHeight="1">
      <c r="A140" s="212"/>
      <c r="B140" s="148" t="s">
        <v>152</v>
      </c>
      <c r="C140" s="86" t="s">
        <v>71</v>
      </c>
      <c r="D140" s="85">
        <v>467</v>
      </c>
      <c r="E140" s="248">
        <v>75</v>
      </c>
      <c r="F140" s="314">
        <f t="shared" si="19"/>
        <v>101.25</v>
      </c>
      <c r="G140" s="138">
        <f>D140*F140</f>
        <v>47283.75</v>
      </c>
    </row>
    <row r="141" spans="1:8">
      <c r="A141" s="212"/>
      <c r="B141" s="244" t="s">
        <v>153</v>
      </c>
      <c r="C141" s="86" t="s">
        <v>71</v>
      </c>
      <c r="D141" s="193">
        <f>SUM(D136:D140)</f>
        <v>1402</v>
      </c>
      <c r="E141" s="110">
        <v>6</v>
      </c>
      <c r="F141" s="314">
        <f t="shared" si="19"/>
        <v>8.1000000000000014</v>
      </c>
      <c r="G141" s="138">
        <f>D141*F141</f>
        <v>11356.200000000003</v>
      </c>
    </row>
    <row r="142" spans="1:8">
      <c r="A142" s="212"/>
      <c r="B142" s="161"/>
      <c r="C142" s="126"/>
      <c r="D142" s="16"/>
      <c r="E142" s="127"/>
      <c r="F142" s="320"/>
      <c r="G142" s="143"/>
    </row>
    <row r="143" spans="1:8">
      <c r="A143" s="212"/>
      <c r="B143" s="162"/>
      <c r="C143" s="126"/>
      <c r="D143" s="16"/>
      <c r="E143" s="127"/>
      <c r="F143" s="321"/>
      <c r="G143" s="139"/>
    </row>
    <row r="144" spans="1:8">
      <c r="A144" s="212"/>
      <c r="B144" s="287" t="s">
        <v>75</v>
      </c>
      <c r="C144" s="123"/>
      <c r="D144" s="124"/>
      <c r="E144" s="125"/>
      <c r="F144" s="125"/>
      <c r="G144" s="140"/>
      <c r="H144" s="241">
        <f>SUM(G134:G143)</f>
        <v>159046.20000000001</v>
      </c>
    </row>
    <row r="145" spans="1:8" ht="28.5" customHeight="1" thickBot="1">
      <c r="A145" s="213" t="s">
        <v>44</v>
      </c>
      <c r="B145" s="84" t="s">
        <v>53</v>
      </c>
      <c r="C145" s="84" t="s">
        <v>54</v>
      </c>
      <c r="D145" s="4" t="s">
        <v>55</v>
      </c>
      <c r="E145" s="84" t="s">
        <v>56</v>
      </c>
      <c r="F145" s="84" t="s">
        <v>56</v>
      </c>
      <c r="G145" s="7" t="s">
        <v>57</v>
      </c>
      <c r="H145" s="7" t="s">
        <v>48</v>
      </c>
    </row>
    <row r="146" spans="1:8" ht="15" thickTop="1">
      <c r="A146" s="212"/>
      <c r="B146" s="146"/>
      <c r="C146" s="85"/>
      <c r="D146" s="85"/>
      <c r="E146" s="85"/>
      <c r="F146" s="313"/>
      <c r="G146" s="136"/>
      <c r="H146" s="5"/>
    </row>
    <row r="147" spans="1:8" ht="15.6">
      <c r="A147" s="212" t="s">
        <v>154</v>
      </c>
      <c r="B147" s="235" t="s">
        <v>155</v>
      </c>
      <c r="C147" s="199"/>
      <c r="D147" s="85"/>
      <c r="E147" s="85"/>
      <c r="F147" s="313"/>
      <c r="G147" s="136"/>
    </row>
    <row r="148" spans="1:8" ht="15.6">
      <c r="A148" s="120"/>
      <c r="B148" s="311"/>
      <c r="C148" s="146"/>
      <c r="D148" s="85"/>
      <c r="E148" s="85"/>
      <c r="G148" s="136"/>
    </row>
    <row r="149" spans="1:8" ht="17.25" customHeight="1">
      <c r="A149" s="157"/>
      <c r="B149" s="148" t="s">
        <v>156</v>
      </c>
      <c r="C149" s="96" t="s">
        <v>71</v>
      </c>
      <c r="D149" s="85">
        <v>1193</v>
      </c>
      <c r="E149" s="128">
        <v>15</v>
      </c>
      <c r="F149" s="314">
        <v>25</v>
      </c>
      <c r="G149" s="138">
        <f>D149*F149</f>
        <v>29825</v>
      </c>
    </row>
    <row r="150" spans="1:8">
      <c r="A150" s="157"/>
      <c r="B150" s="148" t="s">
        <v>157</v>
      </c>
      <c r="C150" s="96" t="s">
        <v>71</v>
      </c>
      <c r="D150" s="85">
        <v>1193</v>
      </c>
      <c r="E150" s="128">
        <v>7</v>
      </c>
      <c r="F150" s="314">
        <f t="shared" ref="F150:F160" si="20">E150*1.35</f>
        <v>9.4500000000000011</v>
      </c>
      <c r="G150" s="138">
        <f>D150*F150</f>
        <v>11273.85</v>
      </c>
    </row>
    <row r="151" spans="1:8">
      <c r="A151" s="212"/>
      <c r="B151" s="148" t="s">
        <v>158</v>
      </c>
      <c r="C151" s="96" t="s">
        <v>71</v>
      </c>
      <c r="D151" s="85">
        <v>1193</v>
      </c>
      <c r="E151" s="128">
        <v>5</v>
      </c>
      <c r="F151" s="314">
        <f t="shared" si="20"/>
        <v>6.75</v>
      </c>
      <c r="G151" s="138">
        <f>D151*F151</f>
        <v>8052.75</v>
      </c>
    </row>
    <row r="152" spans="1:8">
      <c r="A152" s="157"/>
      <c r="B152" s="161" t="s">
        <v>159</v>
      </c>
      <c r="C152" s="86" t="s">
        <v>68</v>
      </c>
      <c r="D152" s="85">
        <f>(63+22)*2</f>
        <v>170</v>
      </c>
      <c r="E152" s="128">
        <v>30</v>
      </c>
      <c r="F152" s="314">
        <f t="shared" si="20"/>
        <v>40.5</v>
      </c>
      <c r="G152" s="138">
        <f t="shared" ref="G152:G160" si="21">D152*F152</f>
        <v>6885</v>
      </c>
    </row>
    <row r="153" spans="1:8">
      <c r="A153" s="212"/>
      <c r="B153" s="163" t="s">
        <v>160</v>
      </c>
      <c r="C153" s="86" t="s">
        <v>68</v>
      </c>
      <c r="D153" s="85">
        <f>(63+22)*2</f>
        <v>170</v>
      </c>
      <c r="E153" s="87">
        <v>25</v>
      </c>
      <c r="F153" s="314">
        <f t="shared" si="20"/>
        <v>33.75</v>
      </c>
      <c r="G153" s="138">
        <f t="shared" si="21"/>
        <v>5737.5</v>
      </c>
    </row>
    <row r="154" spans="1:8">
      <c r="A154" s="157"/>
      <c r="B154" s="159" t="s">
        <v>161</v>
      </c>
      <c r="C154" s="86" t="s">
        <v>68</v>
      </c>
      <c r="D154" s="85">
        <f>(63+22)*2</f>
        <v>170</v>
      </c>
      <c r="E154" s="87">
        <v>4</v>
      </c>
      <c r="F154" s="314">
        <f t="shared" si="20"/>
        <v>5.4</v>
      </c>
      <c r="G154" s="138">
        <f t="shared" si="21"/>
        <v>918.00000000000011</v>
      </c>
      <c r="H154" s="80"/>
    </row>
    <row r="155" spans="1:8">
      <c r="A155" s="157"/>
      <c r="B155" s="291" t="s">
        <v>162</v>
      </c>
      <c r="C155" s="86" t="s">
        <v>71</v>
      </c>
      <c r="D155" s="85">
        <f>(63+22)*2</f>
        <v>170</v>
      </c>
      <c r="E155" s="87">
        <v>2</v>
      </c>
      <c r="F155" s="314">
        <f t="shared" si="20"/>
        <v>2.7</v>
      </c>
      <c r="G155" s="138">
        <f t="shared" si="21"/>
        <v>459.00000000000006</v>
      </c>
      <c r="H155" s="80"/>
    </row>
    <row r="156" spans="1:8">
      <c r="A156" s="157"/>
      <c r="B156" s="292" t="s">
        <v>163</v>
      </c>
      <c r="C156" s="86" t="s">
        <v>68</v>
      </c>
      <c r="D156" s="85">
        <f>(63+22)*2+40</f>
        <v>210</v>
      </c>
      <c r="E156" s="87">
        <v>4</v>
      </c>
      <c r="F156" s="314">
        <f t="shared" si="20"/>
        <v>5.4</v>
      </c>
      <c r="G156" s="138">
        <f t="shared" si="21"/>
        <v>1134</v>
      </c>
      <c r="H156" s="80"/>
    </row>
    <row r="157" spans="1:8">
      <c r="A157" s="283"/>
      <c r="B157" s="289" t="s">
        <v>164</v>
      </c>
      <c r="C157" s="86"/>
      <c r="D157" s="85"/>
      <c r="E157" s="288"/>
      <c r="F157" s="314"/>
      <c r="G157" s="138"/>
      <c r="H157" s="80"/>
    </row>
    <row r="158" spans="1:8">
      <c r="A158" s="212"/>
      <c r="B158" s="290" t="s">
        <v>165</v>
      </c>
      <c r="C158" s="96" t="s">
        <v>71</v>
      </c>
      <c r="D158" s="85">
        <v>1193</v>
      </c>
      <c r="E158" s="128">
        <v>35</v>
      </c>
      <c r="F158" s="314">
        <f t="shared" si="20"/>
        <v>47.25</v>
      </c>
      <c r="G158" s="138">
        <f t="shared" si="21"/>
        <v>56369.25</v>
      </c>
    </row>
    <row r="159" spans="1:8">
      <c r="A159" s="212"/>
      <c r="B159" s="290" t="s">
        <v>166</v>
      </c>
      <c r="C159" s="96" t="s">
        <v>71</v>
      </c>
      <c r="D159" s="85">
        <v>199</v>
      </c>
      <c r="E159" s="128">
        <v>35</v>
      </c>
      <c r="F159" s="314">
        <f t="shared" si="20"/>
        <v>47.25</v>
      </c>
      <c r="G159" s="138">
        <f t="shared" si="21"/>
        <v>9402.75</v>
      </c>
    </row>
    <row r="160" spans="1:8">
      <c r="A160" s="212"/>
      <c r="B160" s="290" t="s">
        <v>167</v>
      </c>
      <c r="C160" s="96" t="s">
        <v>71</v>
      </c>
      <c r="D160" s="85">
        <f>56*5</f>
        <v>280</v>
      </c>
      <c r="E160" s="128">
        <v>35</v>
      </c>
      <c r="F160" s="314">
        <f t="shared" si="20"/>
        <v>47.25</v>
      </c>
      <c r="G160" s="138">
        <f t="shared" si="21"/>
        <v>13230</v>
      </c>
    </row>
    <row r="161" spans="1:8">
      <c r="A161" s="212"/>
      <c r="B161" s="163"/>
      <c r="C161" s="96"/>
      <c r="D161" s="85"/>
      <c r="E161" s="282"/>
      <c r="F161" s="282"/>
      <c r="G161" s="138"/>
    </row>
    <row r="162" spans="1:8">
      <c r="A162" s="212"/>
      <c r="B162" s="287" t="s">
        <v>75</v>
      </c>
      <c r="C162" s="86"/>
      <c r="D162" s="85"/>
      <c r="E162" s="87"/>
      <c r="F162" s="316"/>
      <c r="G162" s="137"/>
      <c r="H162" s="241">
        <f>SUM(G147:G161)</f>
        <v>143287.1</v>
      </c>
    </row>
    <row r="163" spans="1:8" ht="28.5" customHeight="1" thickBot="1">
      <c r="A163" s="213" t="s">
        <v>44</v>
      </c>
      <c r="B163" s="84" t="s">
        <v>53</v>
      </c>
      <c r="C163" s="84" t="s">
        <v>54</v>
      </c>
      <c r="D163" s="4" t="s">
        <v>55</v>
      </c>
      <c r="E163" s="84" t="s">
        <v>56</v>
      </c>
      <c r="F163" s="84" t="s">
        <v>56</v>
      </c>
      <c r="G163" s="84" t="s">
        <v>57</v>
      </c>
      <c r="H163" s="7" t="s">
        <v>48</v>
      </c>
    </row>
    <row r="164" spans="1:8" ht="15" thickTop="1">
      <c r="A164" s="214"/>
      <c r="B164" s="5"/>
      <c r="C164" s="6"/>
      <c r="D164" s="6"/>
      <c r="E164" s="6"/>
      <c r="F164" s="322"/>
      <c r="G164" s="144"/>
      <c r="H164" s="5"/>
    </row>
    <row r="165" spans="1:8">
      <c r="A165" s="188" t="s">
        <v>168</v>
      </c>
      <c r="B165" s="234" t="s">
        <v>169</v>
      </c>
      <c r="C165" s="16"/>
      <c r="D165" s="16"/>
      <c r="E165" s="16"/>
      <c r="F165" s="323"/>
      <c r="G165" s="131"/>
    </row>
    <row r="166" spans="1:8">
      <c r="A166" s="200"/>
      <c r="B166" s="181"/>
      <c r="C166" s="15"/>
      <c r="D166" s="16"/>
      <c r="E166" s="17"/>
      <c r="F166" s="324"/>
      <c r="G166" s="141"/>
    </row>
    <row r="167" spans="1:8">
      <c r="A167" s="200"/>
      <c r="B167" s="189" t="s">
        <v>170</v>
      </c>
      <c r="C167" s="11" t="s">
        <v>90</v>
      </c>
      <c r="D167" s="20">
        <v>86</v>
      </c>
      <c r="E167" s="118">
        <v>350</v>
      </c>
      <c r="F167" s="314">
        <f>E167*1.35</f>
        <v>472.50000000000006</v>
      </c>
      <c r="G167" s="138">
        <f t="shared" ref="G167" si="22">D167*F167</f>
        <v>40635.000000000007</v>
      </c>
    </row>
    <row r="168" spans="1:8">
      <c r="A168" s="200"/>
      <c r="B168" s="164" t="s">
        <v>171</v>
      </c>
      <c r="C168" s="15"/>
      <c r="D168" s="16"/>
      <c r="E168" s="114"/>
      <c r="F168" s="325"/>
      <c r="G168" s="190"/>
    </row>
    <row r="169" spans="1:8" ht="17.25" customHeight="1">
      <c r="A169" s="200"/>
      <c r="B169" s="165" t="s">
        <v>172</v>
      </c>
      <c r="C169" s="15" t="s">
        <v>90</v>
      </c>
      <c r="D169" s="21">
        <v>5</v>
      </c>
      <c r="E169" s="114">
        <v>950</v>
      </c>
      <c r="F169" s="314">
        <f t="shared" ref="F169:F179" si="23">E169*1.35</f>
        <v>1282.5</v>
      </c>
      <c r="G169" s="138">
        <f t="shared" ref="G169:G178" si="24">D169*F169</f>
        <v>6412.5</v>
      </c>
    </row>
    <row r="170" spans="1:8" ht="17.25" customHeight="1">
      <c r="A170" s="200"/>
      <c r="B170" s="165" t="s">
        <v>173</v>
      </c>
      <c r="C170" s="15" t="s">
        <v>90</v>
      </c>
      <c r="D170" s="21">
        <v>1</v>
      </c>
      <c r="E170" s="114">
        <v>900</v>
      </c>
      <c r="F170" s="314">
        <f t="shared" si="23"/>
        <v>1215</v>
      </c>
      <c r="G170" s="138">
        <f t="shared" si="24"/>
        <v>1215</v>
      </c>
    </row>
    <row r="171" spans="1:8" ht="17.25" customHeight="1">
      <c r="A171" s="200"/>
      <c r="B171" s="165" t="s">
        <v>174</v>
      </c>
      <c r="C171" s="15" t="s">
        <v>90</v>
      </c>
      <c r="D171" s="21">
        <f>3+4+2+2+2+2</f>
        <v>15</v>
      </c>
      <c r="E171" s="114">
        <v>1050</v>
      </c>
      <c r="F171" s="314">
        <f t="shared" si="23"/>
        <v>1417.5</v>
      </c>
      <c r="G171" s="138">
        <f t="shared" si="24"/>
        <v>21262.5</v>
      </c>
    </row>
    <row r="172" spans="1:8" ht="17.25" customHeight="1">
      <c r="A172" s="200"/>
      <c r="B172" s="165" t="s">
        <v>175</v>
      </c>
      <c r="C172" s="15" t="s">
        <v>90</v>
      </c>
      <c r="D172" s="21">
        <v>1</v>
      </c>
      <c r="E172" s="114">
        <v>1050</v>
      </c>
      <c r="F172" s="314">
        <f t="shared" si="23"/>
        <v>1417.5</v>
      </c>
      <c r="G172" s="138">
        <f t="shared" si="24"/>
        <v>1417.5</v>
      </c>
    </row>
    <row r="173" spans="1:8" ht="17.25" customHeight="1">
      <c r="A173" s="200"/>
      <c r="B173" s="165" t="s">
        <v>176</v>
      </c>
      <c r="C173" s="15" t="s">
        <v>90</v>
      </c>
      <c r="D173" s="21">
        <v>14</v>
      </c>
      <c r="E173" s="114">
        <v>900</v>
      </c>
      <c r="F173" s="314">
        <f t="shared" si="23"/>
        <v>1215</v>
      </c>
      <c r="G173" s="138">
        <f t="shared" si="24"/>
        <v>17010</v>
      </c>
    </row>
    <row r="174" spans="1:8" ht="17.25" customHeight="1">
      <c r="A174" s="200"/>
      <c r="B174" s="165" t="s">
        <v>177</v>
      </c>
      <c r="C174" s="15" t="s">
        <v>90</v>
      </c>
      <c r="D174" s="21">
        <f>2+2+2*4+2</f>
        <v>14</v>
      </c>
      <c r="E174" s="114">
        <v>900</v>
      </c>
      <c r="F174" s="314">
        <f t="shared" si="23"/>
        <v>1215</v>
      </c>
      <c r="G174" s="138">
        <f t="shared" si="24"/>
        <v>17010</v>
      </c>
    </row>
    <row r="175" spans="1:8" ht="17.25" customHeight="1">
      <c r="A175" s="200"/>
      <c r="B175" s="165" t="s">
        <v>178</v>
      </c>
      <c r="C175" s="15" t="s">
        <v>90</v>
      </c>
      <c r="D175" s="21">
        <v>1</v>
      </c>
      <c r="E175" s="114">
        <v>900</v>
      </c>
      <c r="F175" s="314">
        <f t="shared" si="23"/>
        <v>1215</v>
      </c>
      <c r="G175" s="138">
        <f t="shared" si="24"/>
        <v>1215</v>
      </c>
    </row>
    <row r="176" spans="1:8" ht="17.25" customHeight="1">
      <c r="A176" s="200"/>
      <c r="B176" s="165" t="s">
        <v>179</v>
      </c>
      <c r="C176" s="15" t="s">
        <v>90</v>
      </c>
      <c r="D176" s="21">
        <v>1</v>
      </c>
      <c r="E176" s="114">
        <v>900</v>
      </c>
      <c r="F176" s="314">
        <f t="shared" si="23"/>
        <v>1215</v>
      </c>
      <c r="G176" s="138">
        <f t="shared" si="24"/>
        <v>1215</v>
      </c>
    </row>
    <row r="177" spans="1:8" ht="17.25" customHeight="1">
      <c r="A177" s="200"/>
      <c r="B177" s="165" t="s">
        <v>180</v>
      </c>
      <c r="C177" s="15" t="s">
        <v>90</v>
      </c>
      <c r="D177" s="21">
        <v>6</v>
      </c>
      <c r="E177" s="114">
        <v>900</v>
      </c>
      <c r="F177" s="314">
        <f t="shared" si="23"/>
        <v>1215</v>
      </c>
      <c r="G177" s="138">
        <f t="shared" si="24"/>
        <v>7290</v>
      </c>
    </row>
    <row r="178" spans="1:8" ht="17.25" customHeight="1">
      <c r="A178" s="200"/>
      <c r="B178" s="165" t="s">
        <v>181</v>
      </c>
      <c r="C178" s="15" t="s">
        <v>90</v>
      </c>
      <c r="D178" s="21">
        <v>1</v>
      </c>
      <c r="E178" s="114">
        <v>900</v>
      </c>
      <c r="F178" s="314">
        <f t="shared" si="23"/>
        <v>1215</v>
      </c>
      <c r="G178" s="138">
        <f t="shared" si="24"/>
        <v>1215</v>
      </c>
    </row>
    <row r="179" spans="1:8" ht="17.25" customHeight="1">
      <c r="A179" s="200"/>
      <c r="B179" s="165" t="s">
        <v>182</v>
      </c>
      <c r="C179" s="15" t="s">
        <v>90</v>
      </c>
      <c r="D179" s="21">
        <v>27</v>
      </c>
      <c r="E179" s="114">
        <v>600</v>
      </c>
      <c r="F179" s="314">
        <f t="shared" si="23"/>
        <v>810</v>
      </c>
      <c r="G179" s="138">
        <f>D179*F179</f>
        <v>21870</v>
      </c>
    </row>
    <row r="180" spans="1:8">
      <c r="A180" s="200"/>
      <c r="B180" s="162"/>
      <c r="C180" s="18"/>
      <c r="D180" s="22"/>
      <c r="E180" s="17"/>
      <c r="F180" s="324"/>
      <c r="G180" s="141"/>
    </row>
    <row r="181" spans="1:8">
      <c r="A181" s="215"/>
      <c r="B181" s="287" t="s">
        <v>75</v>
      </c>
      <c r="C181" s="86"/>
      <c r="D181" s="85"/>
      <c r="E181" s="87"/>
      <c r="F181" s="316"/>
      <c r="G181" s="137"/>
      <c r="H181" s="241">
        <f>SUM(G166:G180)</f>
        <v>137767.5</v>
      </c>
    </row>
    <row r="182" spans="1:8" ht="28.5" customHeight="1" thickBot="1">
      <c r="A182" s="213" t="s">
        <v>44</v>
      </c>
      <c r="B182" s="84" t="s">
        <v>53</v>
      </c>
      <c r="C182" s="84" t="s">
        <v>54</v>
      </c>
      <c r="D182" s="4" t="s">
        <v>55</v>
      </c>
      <c r="E182" s="84" t="s">
        <v>56</v>
      </c>
      <c r="F182" s="84" t="s">
        <v>56</v>
      </c>
      <c r="G182" s="84" t="s">
        <v>57</v>
      </c>
      <c r="H182" s="7" t="s">
        <v>48</v>
      </c>
    </row>
    <row r="183" spans="1:8" ht="15" thickTop="1">
      <c r="A183" s="212"/>
      <c r="B183" s="146"/>
      <c r="C183" s="85"/>
      <c r="D183" s="85"/>
      <c r="E183" s="85"/>
      <c r="F183" s="313"/>
      <c r="G183" s="136"/>
      <c r="H183" s="5"/>
    </row>
    <row r="184" spans="1:8">
      <c r="A184" s="212" t="s">
        <v>183</v>
      </c>
      <c r="B184" s="228" t="s">
        <v>184</v>
      </c>
      <c r="C184" s="229"/>
      <c r="D184" s="230"/>
      <c r="E184" s="85"/>
      <c r="F184" s="313"/>
      <c r="G184" s="136"/>
    </row>
    <row r="185" spans="1:8">
      <c r="A185" s="212"/>
      <c r="B185" s="147"/>
      <c r="C185" s="86"/>
      <c r="D185" s="85"/>
      <c r="E185" s="87"/>
      <c r="F185" s="316"/>
      <c r="G185" s="137"/>
    </row>
    <row r="186" spans="1:8">
      <c r="A186" s="212"/>
      <c r="B186" s="233" t="s">
        <v>185</v>
      </c>
      <c r="C186" s="94"/>
      <c r="D186" s="95"/>
      <c r="E186" s="87"/>
      <c r="F186" s="316"/>
      <c r="G186" s="137"/>
    </row>
    <row r="187" spans="1:8">
      <c r="A187" s="212"/>
      <c r="B187" s="285" t="s">
        <v>186</v>
      </c>
      <c r="C187" s="94" t="s">
        <v>90</v>
      </c>
      <c r="D187" s="95">
        <v>7</v>
      </c>
      <c r="E187" s="87">
        <f>2*8.67*75</f>
        <v>1300.5</v>
      </c>
      <c r="F187" s="314">
        <f>E187*1.35</f>
        <v>1755.6750000000002</v>
      </c>
      <c r="G187" s="138">
        <f>D187*F187</f>
        <v>12289.725000000002</v>
      </c>
    </row>
    <row r="188" spans="1:8">
      <c r="A188" s="212"/>
      <c r="B188" s="153" t="s">
        <v>187</v>
      </c>
      <c r="C188" s="86" t="s">
        <v>71</v>
      </c>
      <c r="D188" s="85">
        <v>1056</v>
      </c>
      <c r="E188" s="110">
        <v>120</v>
      </c>
      <c r="F188" s="314">
        <f>E188*1.05</f>
        <v>126</v>
      </c>
      <c r="G188" s="138">
        <f t="shared" ref="G188:G194" si="25">D188*F188</f>
        <v>133056</v>
      </c>
    </row>
    <row r="189" spans="1:8" ht="28.8">
      <c r="A189" s="212"/>
      <c r="B189" s="153" t="s">
        <v>188</v>
      </c>
      <c r="C189" s="86" t="s">
        <v>90</v>
      </c>
      <c r="D189" s="85">
        <v>16</v>
      </c>
      <c r="E189" s="110">
        <f>8*6*150</f>
        <v>7200</v>
      </c>
      <c r="F189" s="314">
        <f>E189*1.15</f>
        <v>8280</v>
      </c>
      <c r="G189" s="138">
        <f t="shared" si="25"/>
        <v>132480</v>
      </c>
    </row>
    <row r="190" spans="1:8">
      <c r="A190" s="212"/>
      <c r="B190" s="166" t="s">
        <v>189</v>
      </c>
      <c r="C190" s="94"/>
      <c r="D190" s="192"/>
      <c r="E190" s="110"/>
      <c r="F190" s="314"/>
      <c r="G190" s="138"/>
    </row>
    <row r="191" spans="1:8" ht="18.75" customHeight="1">
      <c r="A191" s="212"/>
      <c r="B191" s="153" t="s">
        <v>190</v>
      </c>
      <c r="C191" s="86" t="s">
        <v>71</v>
      </c>
      <c r="D191" s="85">
        <v>61</v>
      </c>
      <c r="E191" s="110">
        <v>120</v>
      </c>
      <c r="F191" s="314">
        <f t="shared" ref="F191:F194" si="26">E191*1.35</f>
        <v>162</v>
      </c>
      <c r="G191" s="138">
        <f t="shared" si="25"/>
        <v>9882</v>
      </c>
    </row>
    <row r="192" spans="1:8" ht="18.75" customHeight="1">
      <c r="A192" s="212"/>
      <c r="B192" s="153" t="s">
        <v>191</v>
      </c>
      <c r="C192" s="86" t="s">
        <v>71</v>
      </c>
      <c r="D192" s="85">
        <f>(16*3.5)*5</f>
        <v>280</v>
      </c>
      <c r="E192" s="110">
        <v>120</v>
      </c>
      <c r="F192" s="314">
        <f t="shared" si="26"/>
        <v>162</v>
      </c>
      <c r="G192" s="138">
        <f t="shared" si="25"/>
        <v>45360</v>
      </c>
    </row>
    <row r="193" spans="1:8" ht="18.75" customHeight="1">
      <c r="A193" s="212"/>
      <c r="B193" s="244" t="s">
        <v>192</v>
      </c>
      <c r="C193" s="94" t="s">
        <v>71</v>
      </c>
      <c r="D193" s="192">
        <v>65</v>
      </c>
      <c r="E193" s="110">
        <v>120</v>
      </c>
      <c r="F193" s="314">
        <f t="shared" si="26"/>
        <v>162</v>
      </c>
      <c r="G193" s="138">
        <f t="shared" si="25"/>
        <v>10530</v>
      </c>
    </row>
    <row r="194" spans="1:8">
      <c r="A194" s="212"/>
      <c r="B194" s="148" t="s">
        <v>193</v>
      </c>
      <c r="C194" s="86" t="s">
        <v>90</v>
      </c>
      <c r="D194" s="85">
        <v>13</v>
      </c>
      <c r="E194" s="87">
        <v>3500</v>
      </c>
      <c r="F194" s="314">
        <f t="shared" si="26"/>
        <v>4725</v>
      </c>
      <c r="G194" s="138">
        <f t="shared" si="25"/>
        <v>61425</v>
      </c>
    </row>
    <row r="195" spans="1:8">
      <c r="A195" s="212"/>
      <c r="B195" s="287" t="s">
        <v>75</v>
      </c>
      <c r="C195" s="86"/>
      <c r="D195" s="85"/>
      <c r="E195" s="87"/>
      <c r="F195" s="316"/>
      <c r="G195" s="137"/>
      <c r="H195" s="241">
        <f>SUM(G184:G194)</f>
        <v>405022.72499999998</v>
      </c>
    </row>
    <row r="196" spans="1:8" ht="28.5" customHeight="1" thickBot="1">
      <c r="A196" s="213" t="s">
        <v>44</v>
      </c>
      <c r="B196" s="84" t="s">
        <v>53</v>
      </c>
      <c r="C196" s="84" t="s">
        <v>54</v>
      </c>
      <c r="D196" s="4" t="s">
        <v>55</v>
      </c>
      <c r="E196" s="84" t="s">
        <v>56</v>
      </c>
      <c r="F196" s="84" t="s">
        <v>56</v>
      </c>
      <c r="G196" s="84" t="s">
        <v>57</v>
      </c>
      <c r="H196" s="7" t="s">
        <v>48</v>
      </c>
    </row>
    <row r="197" spans="1:8" ht="15" thickTop="1">
      <c r="A197" s="212"/>
      <c r="B197" s="146"/>
      <c r="C197" s="85"/>
      <c r="D197" s="85"/>
      <c r="E197" s="85"/>
      <c r="F197" s="313"/>
      <c r="G197" s="136"/>
      <c r="H197" s="5"/>
    </row>
    <row r="198" spans="1:8">
      <c r="A198" s="212" t="s">
        <v>194</v>
      </c>
      <c r="B198" s="232" t="s">
        <v>195</v>
      </c>
      <c r="C198" s="85"/>
      <c r="D198" s="85"/>
      <c r="E198" s="85"/>
      <c r="F198" s="313"/>
      <c r="G198" s="136"/>
    </row>
    <row r="199" spans="1:8" ht="15.6">
      <c r="A199" s="212"/>
      <c r="B199" s="167" t="s">
        <v>196</v>
      </c>
      <c r="C199" s="86" t="s">
        <v>71</v>
      </c>
      <c r="D199" s="93">
        <f>1530+1940+1740+(1740*4)+1740</f>
        <v>13910</v>
      </c>
      <c r="E199" s="184">
        <v>7</v>
      </c>
      <c r="F199" s="314">
        <f t="shared" ref="F199" si="27">E199*1.35</f>
        <v>9.4500000000000011</v>
      </c>
      <c r="G199" s="138">
        <f>D199*F199</f>
        <v>131449.50000000003</v>
      </c>
    </row>
    <row r="200" spans="1:8" ht="15.6">
      <c r="A200" s="212"/>
      <c r="B200" s="168" t="s">
        <v>197</v>
      </c>
      <c r="C200" s="86"/>
      <c r="D200" s="85"/>
      <c r="E200" s="184"/>
      <c r="F200" s="184"/>
      <c r="G200" s="183"/>
    </row>
    <row r="201" spans="1:8" ht="15.6">
      <c r="A201" s="212"/>
      <c r="B201" s="168" t="s">
        <v>198</v>
      </c>
      <c r="C201" s="86"/>
      <c r="D201" s="85"/>
      <c r="E201" s="184"/>
      <c r="F201" s="184"/>
      <c r="G201" s="183"/>
    </row>
    <row r="202" spans="1:8" ht="15.6">
      <c r="A202" s="212"/>
      <c r="B202" s="168" t="s">
        <v>199</v>
      </c>
      <c r="C202" s="86"/>
      <c r="D202" s="85"/>
      <c r="E202" s="184"/>
      <c r="F202" s="184"/>
      <c r="G202" s="183"/>
    </row>
    <row r="203" spans="1:8" ht="15.6">
      <c r="A203" s="212"/>
      <c r="B203" s="167" t="s">
        <v>200</v>
      </c>
      <c r="C203" s="86" t="s">
        <v>71</v>
      </c>
      <c r="D203" s="93">
        <f>1360+1550+1270+(1220*4)+1290</f>
        <v>10350</v>
      </c>
      <c r="E203" s="184">
        <v>12</v>
      </c>
      <c r="F203" s="314">
        <f t="shared" ref="F203" si="28">E203*1.35</f>
        <v>16.200000000000003</v>
      </c>
      <c r="G203" s="138">
        <f>D203*F203</f>
        <v>167670.00000000003</v>
      </c>
    </row>
    <row r="204" spans="1:8" ht="15.6">
      <c r="A204" s="212"/>
      <c r="B204" s="168" t="s">
        <v>197</v>
      </c>
      <c r="C204" s="86"/>
      <c r="D204" s="85"/>
      <c r="E204" s="85"/>
      <c r="F204" s="184"/>
      <c r="G204" s="183"/>
    </row>
    <row r="205" spans="1:8" ht="15.6">
      <c r="A205" s="212"/>
      <c r="B205" s="168" t="s">
        <v>201</v>
      </c>
      <c r="C205" s="86"/>
      <c r="D205" s="85"/>
      <c r="E205" s="85"/>
      <c r="F205" s="184"/>
      <c r="G205" s="183"/>
    </row>
    <row r="206" spans="1:8" ht="15.6">
      <c r="A206" s="212"/>
      <c r="B206" s="168" t="s">
        <v>199</v>
      </c>
      <c r="C206" s="86"/>
      <c r="D206" s="85"/>
      <c r="E206" s="85"/>
      <c r="F206" s="184"/>
      <c r="G206" s="183"/>
    </row>
    <row r="207" spans="1:8" ht="15.6">
      <c r="A207" s="212"/>
      <c r="B207" s="249" t="s">
        <v>202</v>
      </c>
      <c r="C207" s="86"/>
      <c r="D207" s="85"/>
      <c r="E207" s="110"/>
      <c r="F207" s="248"/>
      <c r="G207" s="137"/>
    </row>
    <row r="208" spans="1:8" ht="30.6">
      <c r="A208" s="212"/>
      <c r="B208" s="168" t="s">
        <v>203</v>
      </c>
      <c r="C208" s="86" t="s">
        <v>71</v>
      </c>
      <c r="D208" s="85">
        <f>1296*8</f>
        <v>10368</v>
      </c>
      <c r="E208" s="110">
        <v>10</v>
      </c>
      <c r="F208" s="314">
        <f t="shared" ref="F208" si="29">E208*1.35</f>
        <v>13.5</v>
      </c>
      <c r="G208" s="138">
        <f>D208*F208</f>
        <v>139968</v>
      </c>
    </row>
    <row r="209" spans="1:8" ht="15.6">
      <c r="A209" s="200"/>
      <c r="B209" s="169" t="s">
        <v>204</v>
      </c>
      <c r="C209" s="15"/>
      <c r="D209" s="16"/>
      <c r="E209" s="114"/>
      <c r="F209" s="117"/>
      <c r="G209" s="143"/>
      <c r="H209" s="120"/>
    </row>
    <row r="210" spans="1:8">
      <c r="A210" s="200"/>
      <c r="B210" s="156" t="s">
        <v>143</v>
      </c>
      <c r="C210" s="15" t="s">
        <v>62</v>
      </c>
      <c r="D210" s="16">
        <v>14</v>
      </c>
      <c r="E210" s="114">
        <v>200</v>
      </c>
      <c r="F210" s="314">
        <f t="shared" ref="F210:F214" si="30">E210*1.35</f>
        <v>270</v>
      </c>
      <c r="G210" s="138">
        <f>D210*F210</f>
        <v>3780</v>
      </c>
      <c r="H210" s="120"/>
    </row>
    <row r="211" spans="1:8">
      <c r="A211" s="200"/>
      <c r="B211" s="156" t="s">
        <v>144</v>
      </c>
      <c r="C211" s="15" t="s">
        <v>62</v>
      </c>
      <c r="D211" s="16">
        <v>7</v>
      </c>
      <c r="E211" s="114">
        <v>500</v>
      </c>
      <c r="F211" s="314">
        <f t="shared" si="30"/>
        <v>675</v>
      </c>
      <c r="G211" s="138">
        <f t="shared" ref="G211:G214" si="31">D211*F211</f>
        <v>4725</v>
      </c>
      <c r="H211" s="120"/>
    </row>
    <row r="212" spans="1:8">
      <c r="A212" s="200"/>
      <c r="B212" s="156" t="s">
        <v>205</v>
      </c>
      <c r="C212" s="15" t="s">
        <v>62</v>
      </c>
      <c r="D212" s="16">
        <v>7</v>
      </c>
      <c r="E212" s="114">
        <v>250</v>
      </c>
      <c r="F212" s="314">
        <f t="shared" si="30"/>
        <v>337.5</v>
      </c>
      <c r="G212" s="138">
        <f t="shared" si="31"/>
        <v>2362.5</v>
      </c>
      <c r="H212" s="120"/>
    </row>
    <row r="213" spans="1:8">
      <c r="A213" s="200"/>
      <c r="B213" s="156" t="s">
        <v>206</v>
      </c>
      <c r="C213" s="15" t="s">
        <v>62</v>
      </c>
      <c r="D213" s="16">
        <v>1</v>
      </c>
      <c r="E213" s="114">
        <v>500</v>
      </c>
      <c r="F213" s="314">
        <f t="shared" si="30"/>
        <v>675</v>
      </c>
      <c r="G213" s="138">
        <f t="shared" si="31"/>
        <v>675</v>
      </c>
      <c r="H213" s="120"/>
    </row>
    <row r="214" spans="1:8">
      <c r="A214" s="200"/>
      <c r="B214" s="156" t="s">
        <v>207</v>
      </c>
      <c r="C214" s="15" t="s">
        <v>62</v>
      </c>
      <c r="D214" s="16">
        <v>1</v>
      </c>
      <c r="E214" s="114">
        <v>800</v>
      </c>
      <c r="F214" s="314">
        <f t="shared" si="30"/>
        <v>1080</v>
      </c>
      <c r="G214" s="138">
        <f t="shared" si="31"/>
        <v>1080</v>
      </c>
      <c r="H214" s="120"/>
    </row>
    <row r="215" spans="1:8" ht="15.6">
      <c r="A215" s="200"/>
      <c r="B215" s="170"/>
      <c r="C215" s="15"/>
      <c r="D215" s="16"/>
      <c r="E215" s="17"/>
      <c r="F215" s="324"/>
      <c r="G215" s="141"/>
      <c r="H215" s="120"/>
    </row>
    <row r="216" spans="1:8">
      <c r="A216" s="200"/>
      <c r="B216" s="287" t="s">
        <v>75</v>
      </c>
      <c r="C216" s="11"/>
      <c r="D216" s="20"/>
      <c r="E216" s="12"/>
      <c r="F216" s="326"/>
      <c r="G216" s="10"/>
      <c r="H216" s="286">
        <f>SUM(G198:G214)</f>
        <v>451710.00000000006</v>
      </c>
    </row>
    <row r="217" spans="1:8" ht="28.5" customHeight="1" thickBot="1">
      <c r="A217" s="217" t="s">
        <v>44</v>
      </c>
      <c r="B217" s="7" t="s">
        <v>53</v>
      </c>
      <c r="C217" s="7" t="s">
        <v>55</v>
      </c>
      <c r="D217" s="3" t="s">
        <v>54</v>
      </c>
      <c r="E217" s="7" t="s">
        <v>56</v>
      </c>
      <c r="F217" s="84" t="s">
        <v>56</v>
      </c>
      <c r="G217" s="7" t="s">
        <v>57</v>
      </c>
      <c r="H217" s="84" t="s">
        <v>48</v>
      </c>
    </row>
    <row r="218" spans="1:8" ht="15" thickTop="1">
      <c r="A218" s="212"/>
      <c r="B218" s="146"/>
      <c r="C218" s="85"/>
      <c r="D218" s="85"/>
      <c r="E218" s="85"/>
      <c r="F218" s="313"/>
      <c r="G218" s="136"/>
      <c r="H218" s="5"/>
    </row>
    <row r="219" spans="1:8" ht="15.6">
      <c r="A219" s="212" t="s">
        <v>208</v>
      </c>
      <c r="B219" s="245" t="s">
        <v>209</v>
      </c>
      <c r="C219" s="85"/>
      <c r="D219" s="85"/>
      <c r="E219" s="85"/>
      <c r="F219" s="313"/>
      <c r="G219" s="136"/>
    </row>
    <row r="220" spans="1:8">
      <c r="A220" s="212"/>
      <c r="B220" s="148"/>
      <c r="C220" s="86"/>
      <c r="D220" s="85"/>
      <c r="E220" s="87"/>
      <c r="F220" s="316"/>
      <c r="G220" s="137"/>
    </row>
    <row r="221" spans="1:8" ht="15.6">
      <c r="A221" s="212"/>
      <c r="B221" s="168" t="s">
        <v>210</v>
      </c>
      <c r="C221" s="86" t="s">
        <v>71</v>
      </c>
      <c r="D221" s="85">
        <f>109*7+28</f>
        <v>791</v>
      </c>
      <c r="E221" s="110">
        <v>25</v>
      </c>
      <c r="F221" s="314">
        <f>E221*1.25</f>
        <v>31.25</v>
      </c>
      <c r="G221" s="138">
        <f>D221*F221</f>
        <v>24718.75</v>
      </c>
    </row>
    <row r="222" spans="1:8" ht="15.6">
      <c r="A222" s="212"/>
      <c r="B222" s="168" t="s">
        <v>211</v>
      </c>
      <c r="C222" s="86" t="s">
        <v>71</v>
      </c>
      <c r="D222" s="85">
        <f>21*7+(31*7)+(61*7*6)</f>
        <v>2926</v>
      </c>
      <c r="E222" s="110">
        <v>25</v>
      </c>
      <c r="F222" s="314">
        <f t="shared" ref="F222:F227" si="32">E222*1.25</f>
        <v>31.25</v>
      </c>
      <c r="G222" s="138">
        <f t="shared" ref="G222:G227" si="33">D222*F222</f>
        <v>91437.5</v>
      </c>
    </row>
    <row r="223" spans="1:8" ht="15.6">
      <c r="A223" s="212"/>
      <c r="B223" s="168" t="s">
        <v>212</v>
      </c>
      <c r="C223" s="86" t="s">
        <v>71</v>
      </c>
      <c r="D223" s="85">
        <f>12*7</f>
        <v>84</v>
      </c>
      <c r="E223" s="110">
        <v>25</v>
      </c>
      <c r="F223" s="314">
        <f t="shared" si="32"/>
        <v>31.25</v>
      </c>
      <c r="G223" s="138">
        <f t="shared" si="33"/>
        <v>2625</v>
      </c>
    </row>
    <row r="224" spans="1:8" ht="15.6">
      <c r="A224" s="212"/>
      <c r="B224" s="168" t="s">
        <v>213</v>
      </c>
      <c r="C224" s="86" t="s">
        <v>71</v>
      </c>
      <c r="D224" s="85">
        <f>12*3*7</f>
        <v>252</v>
      </c>
      <c r="E224" s="110">
        <v>25</v>
      </c>
      <c r="F224" s="314">
        <f t="shared" si="32"/>
        <v>31.25</v>
      </c>
      <c r="G224" s="138">
        <f t="shared" si="33"/>
        <v>7875</v>
      </c>
    </row>
    <row r="225" spans="1:8" ht="15.6">
      <c r="A225" s="212"/>
      <c r="B225" s="167" t="s">
        <v>214</v>
      </c>
      <c r="C225" s="86"/>
      <c r="D225" s="85"/>
      <c r="E225" s="110"/>
      <c r="F225" s="314">
        <f t="shared" si="32"/>
        <v>0</v>
      </c>
      <c r="G225" s="138"/>
    </row>
    <row r="226" spans="1:8" ht="15.6">
      <c r="A226" s="212"/>
      <c r="B226" s="171" t="s">
        <v>215</v>
      </c>
      <c r="C226" s="86" t="s">
        <v>71</v>
      </c>
      <c r="D226" s="85">
        <f>33*7</f>
        <v>231</v>
      </c>
      <c r="E226" s="110">
        <v>125</v>
      </c>
      <c r="F226" s="314">
        <f t="shared" si="32"/>
        <v>156.25</v>
      </c>
      <c r="G226" s="138">
        <f t="shared" si="33"/>
        <v>36093.75</v>
      </c>
    </row>
    <row r="227" spans="1:8" ht="15.6">
      <c r="A227" s="212"/>
      <c r="B227" s="168" t="s">
        <v>216</v>
      </c>
      <c r="C227" s="86" t="s">
        <v>71</v>
      </c>
      <c r="D227" s="85">
        <f>5*7</f>
        <v>35</v>
      </c>
      <c r="E227" s="110">
        <v>150</v>
      </c>
      <c r="F227" s="314">
        <f t="shared" si="32"/>
        <v>187.5</v>
      </c>
      <c r="G227" s="138">
        <f t="shared" si="33"/>
        <v>6562.5</v>
      </c>
    </row>
    <row r="228" spans="1:8" ht="15.6">
      <c r="A228" s="212"/>
      <c r="B228" s="168"/>
      <c r="C228" s="86"/>
      <c r="D228" s="85"/>
      <c r="E228" s="110"/>
      <c r="F228" s="248"/>
      <c r="G228" s="137"/>
    </row>
    <row r="229" spans="1:8">
      <c r="A229" s="212"/>
      <c r="B229" s="287" t="s">
        <v>75</v>
      </c>
      <c r="C229" s="86"/>
      <c r="D229" s="85"/>
      <c r="E229" s="110"/>
      <c r="F229" s="248"/>
      <c r="G229" s="137"/>
      <c r="H229" s="241">
        <f>SUM(G220:G228)</f>
        <v>169312.5</v>
      </c>
    </row>
    <row r="230" spans="1:8" ht="28.5" customHeight="1" thickBot="1">
      <c r="A230" s="213" t="s">
        <v>44</v>
      </c>
      <c r="B230" s="84" t="s">
        <v>53</v>
      </c>
      <c r="C230" s="84" t="s">
        <v>55</v>
      </c>
      <c r="D230" s="4" t="s">
        <v>54</v>
      </c>
      <c r="E230" s="112" t="s">
        <v>56</v>
      </c>
      <c r="F230" s="84" t="s">
        <v>56</v>
      </c>
      <c r="G230" s="84" t="s">
        <v>57</v>
      </c>
      <c r="H230" s="7" t="s">
        <v>48</v>
      </c>
    </row>
    <row r="231" spans="1:8" ht="15" thickTop="1">
      <c r="A231" s="212"/>
      <c r="B231" s="146"/>
      <c r="C231" s="85"/>
      <c r="D231" s="85"/>
      <c r="E231" s="113"/>
      <c r="F231" s="318"/>
      <c r="G231" s="136"/>
      <c r="H231" s="5"/>
    </row>
    <row r="232" spans="1:8" ht="15.6">
      <c r="A232" s="212" t="s">
        <v>217</v>
      </c>
      <c r="B232" s="245" t="s">
        <v>218</v>
      </c>
      <c r="C232" s="85"/>
      <c r="D232" s="85"/>
      <c r="E232" s="113"/>
      <c r="F232" s="318"/>
      <c r="G232" s="136"/>
    </row>
    <row r="233" spans="1:8">
      <c r="A233" s="212"/>
      <c r="B233" s="148"/>
      <c r="C233" s="86"/>
      <c r="D233" s="85"/>
      <c r="E233" s="110"/>
      <c r="F233" s="248"/>
      <c r="G233" s="137"/>
    </row>
    <row r="234" spans="1:8" ht="15.6">
      <c r="A234" s="212"/>
      <c r="B234" s="168" t="s">
        <v>219</v>
      </c>
      <c r="C234" s="90" t="s">
        <v>71</v>
      </c>
      <c r="D234" s="85">
        <v>1193</v>
      </c>
      <c r="E234" s="110">
        <v>7</v>
      </c>
      <c r="F234" s="314">
        <f t="shared" ref="F234" si="34">E234*1.35</f>
        <v>9.4500000000000011</v>
      </c>
      <c r="G234" s="138">
        <f t="shared" ref="G234" si="35">D234*F234</f>
        <v>11273.85</v>
      </c>
    </row>
    <row r="235" spans="1:8" ht="15.6">
      <c r="A235" s="212"/>
      <c r="B235" s="168"/>
      <c r="C235" s="86"/>
      <c r="D235" s="85"/>
      <c r="E235" s="87"/>
      <c r="F235" s="316"/>
      <c r="G235" s="137"/>
    </row>
    <row r="236" spans="1:8">
      <c r="A236" s="212"/>
      <c r="B236" s="148"/>
      <c r="C236" s="86"/>
      <c r="D236" s="85"/>
      <c r="E236" s="87"/>
      <c r="F236" s="316"/>
      <c r="G236" s="137"/>
      <c r="H236" s="80">
        <f>SUM(G231:G235)</f>
        <v>11273.85</v>
      </c>
    </row>
    <row r="237" spans="1:8" ht="28.5" customHeight="1" thickBot="1">
      <c r="A237" s="213" t="s">
        <v>44</v>
      </c>
      <c r="B237" s="84" t="s">
        <v>53</v>
      </c>
      <c r="C237" s="84" t="s">
        <v>55</v>
      </c>
      <c r="D237" s="4" t="s">
        <v>54</v>
      </c>
      <c r="E237" s="84" t="s">
        <v>56</v>
      </c>
      <c r="F237" s="84" t="s">
        <v>56</v>
      </c>
      <c r="G237" s="84" t="s">
        <v>57</v>
      </c>
      <c r="H237" s="7" t="s">
        <v>48</v>
      </c>
    </row>
    <row r="238" spans="1:8" ht="15" thickTop="1">
      <c r="A238" s="212"/>
      <c r="B238" s="146"/>
      <c r="C238" s="85"/>
      <c r="D238" s="85"/>
      <c r="E238" s="85"/>
      <c r="F238" s="313"/>
      <c r="G238" s="136"/>
      <c r="H238" s="5"/>
    </row>
    <row r="239" spans="1:8" ht="15.6">
      <c r="A239" s="212" t="s">
        <v>220</v>
      </c>
      <c r="B239" s="245" t="s">
        <v>221</v>
      </c>
      <c r="C239" s="85"/>
      <c r="D239" s="85"/>
      <c r="E239" s="85"/>
      <c r="F239" s="313"/>
      <c r="G239" s="136"/>
    </row>
    <row r="240" spans="1:8">
      <c r="A240" s="212"/>
      <c r="B240" s="153" t="s">
        <v>222</v>
      </c>
      <c r="C240" s="90" t="s">
        <v>71</v>
      </c>
      <c r="D240" s="90">
        <f>1094*7</f>
        <v>7658</v>
      </c>
      <c r="E240" s="115">
        <v>8</v>
      </c>
      <c r="F240" s="314">
        <f>E240*1.35</f>
        <v>10.8</v>
      </c>
      <c r="G240" s="138">
        <f t="shared" ref="G240:G242" si="36">D240*F240</f>
        <v>82706.400000000009</v>
      </c>
    </row>
    <row r="241" spans="1:8">
      <c r="A241" s="212"/>
      <c r="B241" s="153" t="s">
        <v>223</v>
      </c>
      <c r="C241" s="90" t="s">
        <v>71</v>
      </c>
      <c r="D241" s="90">
        <f>1094*7</f>
        <v>7658</v>
      </c>
      <c r="E241" s="115">
        <v>2</v>
      </c>
      <c r="F241" s="314">
        <f t="shared" ref="F241:F243" si="37">E241*1.35</f>
        <v>2.7</v>
      </c>
      <c r="G241" s="138">
        <f t="shared" si="36"/>
        <v>20676.600000000002</v>
      </c>
    </row>
    <row r="242" spans="1:8">
      <c r="A242" s="212"/>
      <c r="B242" s="153" t="s">
        <v>224</v>
      </c>
      <c r="C242" s="90" t="s">
        <v>71</v>
      </c>
      <c r="D242" s="90">
        <f>1094*7</f>
        <v>7658</v>
      </c>
      <c r="E242" s="115">
        <v>3</v>
      </c>
      <c r="F242" s="314">
        <f t="shared" si="37"/>
        <v>4.0500000000000007</v>
      </c>
      <c r="G242" s="138">
        <f t="shared" si="36"/>
        <v>31014.900000000005</v>
      </c>
    </row>
    <row r="243" spans="1:8">
      <c r="A243" s="212"/>
      <c r="B243" s="146" t="s">
        <v>225</v>
      </c>
      <c r="C243" s="86" t="s">
        <v>68</v>
      </c>
      <c r="D243" s="85">
        <f>230*7</f>
        <v>1610</v>
      </c>
      <c r="E243" s="91">
        <v>9</v>
      </c>
      <c r="F243" s="314">
        <f t="shared" si="37"/>
        <v>12.15</v>
      </c>
      <c r="G243" s="138">
        <f>D243*F243</f>
        <v>19561.5</v>
      </c>
    </row>
    <row r="244" spans="1:8">
      <c r="A244" s="212"/>
      <c r="B244" s="287" t="s">
        <v>75</v>
      </c>
      <c r="C244" s="86"/>
      <c r="D244" s="85"/>
      <c r="E244" s="87"/>
      <c r="F244" s="316"/>
      <c r="G244" s="137"/>
      <c r="H244" s="241">
        <f>SUM(G239:G243)</f>
        <v>153959.40000000002</v>
      </c>
    </row>
    <row r="245" spans="1:8" ht="28.5" customHeight="1" thickBot="1">
      <c r="A245" s="213" t="s">
        <v>44</v>
      </c>
      <c r="B245" s="84" t="s">
        <v>53</v>
      </c>
      <c r="C245" s="84" t="s">
        <v>55</v>
      </c>
      <c r="D245" s="4" t="s">
        <v>54</v>
      </c>
      <c r="E245" s="84" t="s">
        <v>56</v>
      </c>
      <c r="F245" s="84" t="s">
        <v>56</v>
      </c>
      <c r="G245" s="84" t="s">
        <v>57</v>
      </c>
      <c r="H245" s="7" t="s">
        <v>48</v>
      </c>
    </row>
    <row r="246" spans="1:8" ht="15" thickTop="1">
      <c r="A246" s="214"/>
      <c r="B246" s="5"/>
      <c r="C246" s="6"/>
      <c r="D246" s="6"/>
      <c r="E246" s="6"/>
      <c r="F246" s="322"/>
      <c r="G246" s="144"/>
      <c r="H246" s="5"/>
    </row>
    <row r="247" spans="1:8" ht="15.6">
      <c r="A247" s="200" t="s">
        <v>226</v>
      </c>
      <c r="B247" s="246" t="s">
        <v>227</v>
      </c>
      <c r="C247" s="16"/>
      <c r="D247" s="16"/>
      <c r="E247" s="16"/>
      <c r="F247" s="323"/>
      <c r="G247" s="131"/>
    </row>
    <row r="248" spans="1:8">
      <c r="A248" s="200"/>
      <c r="B248" s="13"/>
      <c r="C248" s="15"/>
      <c r="D248" s="16"/>
      <c r="E248" s="17"/>
      <c r="F248" s="324"/>
      <c r="G248" s="141"/>
    </row>
    <row r="249" spans="1:8">
      <c r="A249" s="200"/>
      <c r="B249" s="172" t="s">
        <v>228</v>
      </c>
      <c r="C249" s="15" t="s">
        <v>90</v>
      </c>
      <c r="D249" s="16">
        <v>7</v>
      </c>
      <c r="E249" s="114">
        <v>5500</v>
      </c>
      <c r="F249" s="314">
        <f t="shared" ref="F249:F250" si="38">E249*1.35</f>
        <v>7425.0000000000009</v>
      </c>
      <c r="G249" s="138">
        <f>D249*F249</f>
        <v>51975.000000000007</v>
      </c>
    </row>
    <row r="250" spans="1:8">
      <c r="A250" s="200"/>
      <c r="B250" s="148" t="s">
        <v>229</v>
      </c>
      <c r="C250" s="15" t="s">
        <v>90</v>
      </c>
      <c r="D250" s="16">
        <v>8</v>
      </c>
      <c r="E250" s="114">
        <v>1800</v>
      </c>
      <c r="F250" s="314">
        <f t="shared" si="38"/>
        <v>2430</v>
      </c>
      <c r="G250" s="138">
        <f>D250*F250</f>
        <v>19440</v>
      </c>
    </row>
    <row r="251" spans="1:8">
      <c r="A251" s="200"/>
      <c r="B251" s="287" t="s">
        <v>75</v>
      </c>
      <c r="C251" s="15"/>
      <c r="D251" s="16"/>
      <c r="E251" s="17"/>
      <c r="F251" s="324"/>
      <c r="G251" s="141"/>
      <c r="H251" s="241">
        <f>SUM(G247:G250)</f>
        <v>71415</v>
      </c>
    </row>
    <row r="252" spans="1:8" ht="28.5" customHeight="1">
      <c r="A252" s="217" t="s">
        <v>44</v>
      </c>
      <c r="B252" s="7" t="s">
        <v>53</v>
      </c>
      <c r="C252" s="7" t="s">
        <v>55</v>
      </c>
      <c r="D252" s="3" t="s">
        <v>54</v>
      </c>
      <c r="E252" s="7" t="s">
        <v>56</v>
      </c>
      <c r="F252" s="84" t="s">
        <v>56</v>
      </c>
      <c r="G252" s="7" t="s">
        <v>57</v>
      </c>
      <c r="H252" s="7" t="s">
        <v>48</v>
      </c>
    </row>
    <row r="253" spans="1:8">
      <c r="A253" s="212"/>
      <c r="B253" s="146"/>
      <c r="C253" s="85"/>
      <c r="D253" s="85"/>
      <c r="E253" s="85"/>
      <c r="F253" s="313"/>
      <c r="G253" s="136"/>
      <c r="H253" s="145"/>
    </row>
    <row r="254" spans="1:8" ht="15.6">
      <c r="A254" s="212" t="s">
        <v>230</v>
      </c>
      <c r="B254" s="247" t="s">
        <v>231</v>
      </c>
      <c r="C254" s="85"/>
      <c r="D254" s="85"/>
      <c r="E254" s="85"/>
      <c r="F254" s="313"/>
      <c r="G254" s="136"/>
      <c r="H254" s="145"/>
    </row>
    <row r="255" spans="1:8">
      <c r="A255" s="212" t="s">
        <v>232</v>
      </c>
      <c r="B255" s="155" t="s">
        <v>233</v>
      </c>
      <c r="C255" s="86"/>
      <c r="D255" s="85"/>
      <c r="E255" s="87"/>
      <c r="F255" s="316"/>
      <c r="G255" s="137"/>
      <c r="H255" s="145"/>
    </row>
    <row r="256" spans="1:8">
      <c r="A256" s="212"/>
      <c r="B256" s="163" t="s">
        <v>234</v>
      </c>
      <c r="C256" s="86" t="s">
        <v>90</v>
      </c>
      <c r="D256" s="85">
        <v>1</v>
      </c>
      <c r="E256" s="116">
        <v>8000</v>
      </c>
      <c r="F256" s="314">
        <f t="shared" ref="F256:F258" si="39">E256*1.35</f>
        <v>10800</v>
      </c>
      <c r="G256" s="138">
        <f>D256*F256</f>
        <v>10800</v>
      </c>
      <c r="H256" s="145"/>
    </row>
    <row r="257" spans="1:8">
      <c r="A257" s="212"/>
      <c r="B257" s="163" t="s">
        <v>235</v>
      </c>
      <c r="C257" s="86" t="s">
        <v>90</v>
      </c>
      <c r="D257" s="85">
        <v>1</v>
      </c>
      <c r="E257" s="116">
        <v>1200</v>
      </c>
      <c r="F257" s="314">
        <f t="shared" si="39"/>
        <v>1620</v>
      </c>
      <c r="G257" s="138">
        <f>D257*F257</f>
        <v>1620</v>
      </c>
      <c r="H257" s="145"/>
    </row>
    <row r="258" spans="1:8">
      <c r="A258" s="212"/>
      <c r="B258" s="163" t="s">
        <v>236</v>
      </c>
      <c r="C258" s="86" t="s">
        <v>62</v>
      </c>
      <c r="D258" s="85">
        <v>1</v>
      </c>
      <c r="E258" s="116">
        <v>2400</v>
      </c>
      <c r="F258" s="314">
        <f t="shared" si="39"/>
        <v>3240</v>
      </c>
      <c r="G258" s="138">
        <f>D258*F258</f>
        <v>3240</v>
      </c>
      <c r="H258" s="145"/>
    </row>
    <row r="259" spans="1:8">
      <c r="A259" s="212"/>
      <c r="B259" s="163"/>
      <c r="C259" s="86"/>
      <c r="D259" s="85"/>
      <c r="E259" s="116"/>
      <c r="F259" s="328"/>
      <c r="G259" s="138"/>
      <c r="H259" s="145"/>
    </row>
    <row r="260" spans="1:8">
      <c r="A260" s="212"/>
      <c r="B260" s="287" t="s">
        <v>75</v>
      </c>
      <c r="C260" s="86"/>
      <c r="D260" s="85"/>
      <c r="E260" s="97"/>
      <c r="F260" s="329"/>
      <c r="G260" s="138"/>
      <c r="H260" s="271">
        <f>SUM(G254:G259)</f>
        <v>15660</v>
      </c>
    </row>
    <row r="261" spans="1:8" ht="28.5" customHeight="1">
      <c r="A261" s="217" t="s">
        <v>44</v>
      </c>
      <c r="B261" s="7" t="s">
        <v>53</v>
      </c>
      <c r="C261" s="7" t="s">
        <v>55</v>
      </c>
      <c r="D261" s="3" t="s">
        <v>54</v>
      </c>
      <c r="E261" s="7" t="s">
        <v>56</v>
      </c>
      <c r="F261" s="84" t="s">
        <v>56</v>
      </c>
      <c r="G261" s="7" t="s">
        <v>57</v>
      </c>
      <c r="H261" s="7" t="s">
        <v>48</v>
      </c>
    </row>
    <row r="262" spans="1:8">
      <c r="A262" s="212"/>
      <c r="B262" s="146"/>
      <c r="C262" s="85"/>
      <c r="D262" s="85"/>
      <c r="E262" s="85"/>
      <c r="F262" s="313"/>
      <c r="G262" s="136"/>
      <c r="H262" s="145"/>
    </row>
    <row r="263" spans="1:8" ht="15.6">
      <c r="A263" s="212" t="s">
        <v>230</v>
      </c>
      <c r="B263" s="247" t="s">
        <v>231</v>
      </c>
      <c r="C263" s="85"/>
      <c r="D263" s="85"/>
      <c r="E263" s="85"/>
      <c r="F263" s="313"/>
      <c r="G263" s="136"/>
      <c r="H263" s="145"/>
    </row>
    <row r="264" spans="1:8">
      <c r="A264" s="212"/>
      <c r="B264" s="148"/>
      <c r="C264" s="86"/>
      <c r="D264" s="85"/>
      <c r="E264" s="87"/>
      <c r="F264" s="316"/>
      <c r="G264" s="137"/>
      <c r="H264" s="145"/>
    </row>
    <row r="265" spans="1:8">
      <c r="A265" s="212" t="s">
        <v>237</v>
      </c>
      <c r="B265" s="173" t="s">
        <v>238</v>
      </c>
      <c r="C265" s="86"/>
      <c r="D265" s="85"/>
      <c r="E265" s="87"/>
      <c r="F265" s="316"/>
      <c r="G265" s="137"/>
      <c r="H265" s="145"/>
    </row>
    <row r="266" spans="1:8">
      <c r="A266" s="212"/>
      <c r="B266" s="163" t="s">
        <v>239</v>
      </c>
      <c r="C266" s="86" t="s">
        <v>90</v>
      </c>
      <c r="D266" s="85">
        <v>7</v>
      </c>
      <c r="E266" s="116">
        <v>450</v>
      </c>
      <c r="F266" s="314">
        <f t="shared" ref="F266" si="40">E266*1.35</f>
        <v>607.5</v>
      </c>
      <c r="G266" s="138">
        <f>D266*F266</f>
        <v>4252.5</v>
      </c>
      <c r="H266" s="145"/>
    </row>
    <row r="267" spans="1:8">
      <c r="A267" s="212"/>
      <c r="B267" s="163"/>
      <c r="C267" s="86"/>
      <c r="D267" s="85"/>
      <c r="E267" s="116"/>
      <c r="F267" s="328"/>
      <c r="G267" s="138"/>
      <c r="H267" s="145"/>
    </row>
    <row r="268" spans="1:8">
      <c r="A268" s="212"/>
      <c r="B268" s="163"/>
      <c r="C268" s="86"/>
      <c r="D268" s="85"/>
      <c r="E268" s="116"/>
      <c r="F268" s="328"/>
      <c r="G268" s="138"/>
      <c r="H268" s="145"/>
    </row>
    <row r="269" spans="1:8">
      <c r="A269" s="212"/>
      <c r="B269" s="287" t="s">
        <v>75</v>
      </c>
      <c r="C269" s="86"/>
      <c r="D269" s="85"/>
      <c r="E269" s="97"/>
      <c r="F269" s="329"/>
      <c r="G269" s="138"/>
      <c r="H269" s="271">
        <f>SUM(G263:G268)</f>
        <v>4252.5</v>
      </c>
    </row>
    <row r="270" spans="1:8" ht="28.5" customHeight="1">
      <c r="A270" s="213" t="s">
        <v>44</v>
      </c>
      <c r="B270" s="84" t="s">
        <v>53</v>
      </c>
      <c r="C270" s="84" t="s">
        <v>55</v>
      </c>
      <c r="D270" s="4" t="s">
        <v>54</v>
      </c>
      <c r="E270" s="84" t="s">
        <v>56</v>
      </c>
      <c r="F270" s="84" t="s">
        <v>56</v>
      </c>
      <c r="G270" s="84" t="s">
        <v>57</v>
      </c>
      <c r="H270" s="84" t="s">
        <v>48</v>
      </c>
    </row>
    <row r="271" spans="1:8">
      <c r="A271" s="212"/>
      <c r="B271" s="146"/>
      <c r="C271" s="85"/>
      <c r="D271" s="85"/>
      <c r="E271" s="85"/>
      <c r="F271" s="313"/>
      <c r="G271" s="136"/>
      <c r="H271" s="145"/>
    </row>
    <row r="272" spans="1:8">
      <c r="A272" s="212" t="s">
        <v>240</v>
      </c>
      <c r="B272" s="228" t="s">
        <v>241</v>
      </c>
      <c r="C272" s="85"/>
      <c r="D272" s="85"/>
      <c r="E272" s="85"/>
      <c r="F272" s="313"/>
      <c r="G272" s="136"/>
      <c r="H272" s="145"/>
    </row>
    <row r="273" spans="1:8">
      <c r="A273" s="212"/>
      <c r="B273" t="s">
        <v>242</v>
      </c>
      <c r="C273" s="86" t="s">
        <v>90</v>
      </c>
      <c r="D273" s="85">
        <v>1</v>
      </c>
      <c r="E273" s="116">
        <v>150</v>
      </c>
      <c r="F273" s="314">
        <f t="shared" ref="F273:F281" si="41">E273*1.35</f>
        <v>202.5</v>
      </c>
      <c r="G273" s="138">
        <f>D273*F273</f>
        <v>202.5</v>
      </c>
      <c r="H273" s="145"/>
    </row>
    <row r="274" spans="1:8">
      <c r="A274" s="212"/>
      <c r="B274" t="s">
        <v>243</v>
      </c>
      <c r="C274" s="86" t="s">
        <v>90</v>
      </c>
      <c r="D274" s="85">
        <v>1</v>
      </c>
      <c r="E274" s="116">
        <v>150</v>
      </c>
      <c r="F274" s="314">
        <f t="shared" si="41"/>
        <v>202.5</v>
      </c>
      <c r="G274" s="138">
        <f t="shared" ref="G274:G281" si="42">D274*F274</f>
        <v>202.5</v>
      </c>
      <c r="H274" s="145"/>
    </row>
    <row r="275" spans="1:8">
      <c r="A275" s="14"/>
      <c r="B275" t="s">
        <v>244</v>
      </c>
      <c r="C275" s="86" t="s">
        <v>90</v>
      </c>
      <c r="D275" s="85">
        <v>1</v>
      </c>
      <c r="E275" s="116">
        <v>150</v>
      </c>
      <c r="F275" s="314">
        <f t="shared" si="41"/>
        <v>202.5</v>
      </c>
      <c r="G275" s="138">
        <f t="shared" si="42"/>
        <v>202.5</v>
      </c>
      <c r="H275" s="212"/>
    </row>
    <row r="276" spans="1:8">
      <c r="A276" s="239"/>
      <c r="B276" t="s">
        <v>245</v>
      </c>
      <c r="C276" s="86" t="s">
        <v>90</v>
      </c>
      <c r="D276" s="85">
        <v>1</v>
      </c>
      <c r="E276" s="116">
        <v>150</v>
      </c>
      <c r="F276" s="314">
        <f t="shared" si="41"/>
        <v>202.5</v>
      </c>
      <c r="G276" s="138">
        <f t="shared" si="42"/>
        <v>202.5</v>
      </c>
      <c r="H276" s="212"/>
    </row>
    <row r="277" spans="1:8">
      <c r="A277" s="134"/>
      <c r="B277" t="s">
        <v>246</v>
      </c>
      <c r="C277" s="86" t="s">
        <v>90</v>
      </c>
      <c r="D277" s="85">
        <v>8</v>
      </c>
      <c r="E277" s="116">
        <v>150</v>
      </c>
      <c r="F277" s="314">
        <f t="shared" si="41"/>
        <v>202.5</v>
      </c>
      <c r="G277" s="138">
        <f t="shared" si="42"/>
        <v>1620</v>
      </c>
      <c r="H277" s="212"/>
    </row>
    <row r="278" spans="1:8">
      <c r="A278" s="14"/>
      <c r="B278" t="s">
        <v>247</v>
      </c>
      <c r="C278" s="86" t="s">
        <v>90</v>
      </c>
      <c r="D278" s="85">
        <v>8</v>
      </c>
      <c r="E278" s="116">
        <v>150</v>
      </c>
      <c r="F278" s="314">
        <f t="shared" si="41"/>
        <v>202.5</v>
      </c>
      <c r="G278" s="138">
        <f t="shared" si="42"/>
        <v>1620</v>
      </c>
      <c r="H278" s="212"/>
    </row>
    <row r="279" spans="1:8">
      <c r="A279" s="134"/>
      <c r="B279" s="238" t="s">
        <v>248</v>
      </c>
      <c r="C279" s="86" t="s">
        <v>90</v>
      </c>
      <c r="D279" s="85">
        <v>16</v>
      </c>
      <c r="E279" s="116">
        <v>150</v>
      </c>
      <c r="F279" s="314">
        <f t="shared" si="41"/>
        <v>202.5</v>
      </c>
      <c r="G279" s="138">
        <f t="shared" si="42"/>
        <v>3240</v>
      </c>
      <c r="H279" s="212"/>
    </row>
    <row r="280" spans="1:8">
      <c r="A280" s="134"/>
      <c r="B280" s="238" t="s">
        <v>249</v>
      </c>
      <c r="C280" s="86" t="s">
        <v>90</v>
      </c>
      <c r="D280" s="85">
        <v>2</v>
      </c>
      <c r="E280" s="116">
        <v>150</v>
      </c>
      <c r="F280" s="314">
        <f t="shared" si="41"/>
        <v>202.5</v>
      </c>
      <c r="G280" s="138">
        <f t="shared" si="42"/>
        <v>405</v>
      </c>
      <c r="H280" s="212"/>
    </row>
    <row r="281" spans="1:8">
      <c r="A281" s="134"/>
      <c r="B281" s="238" t="s">
        <v>250</v>
      </c>
      <c r="C281" s="86" t="s">
        <v>90</v>
      </c>
      <c r="D281" s="85">
        <v>7</v>
      </c>
      <c r="E281" s="116">
        <v>150</v>
      </c>
      <c r="F281" s="314">
        <f t="shared" si="41"/>
        <v>202.5</v>
      </c>
      <c r="G281" s="138">
        <f t="shared" si="42"/>
        <v>1417.5</v>
      </c>
      <c r="H281" s="212"/>
    </row>
    <row r="282" spans="1:8">
      <c r="A282" s="212"/>
      <c r="B282" s="238"/>
      <c r="C282" s="187"/>
      <c r="D282" s="85"/>
      <c r="E282" s="110"/>
      <c r="F282" s="248"/>
      <c r="G282" s="137"/>
      <c r="H282" s="145"/>
    </row>
    <row r="283" spans="1:8">
      <c r="A283" s="212"/>
      <c r="B283" s="155"/>
      <c r="C283" s="86"/>
      <c r="D283" s="85"/>
      <c r="E283" s="87"/>
      <c r="F283" s="316"/>
      <c r="G283" s="137"/>
      <c r="H283" s="145"/>
    </row>
    <row r="284" spans="1:8">
      <c r="A284" s="212"/>
      <c r="B284" s="287" t="s">
        <v>75</v>
      </c>
      <c r="C284" s="86"/>
      <c r="D284" s="85"/>
      <c r="E284" s="87"/>
      <c r="F284" s="316"/>
      <c r="G284" s="137"/>
      <c r="H284" s="271">
        <f>SUM(G272:G283)</f>
        <v>9112.5</v>
      </c>
    </row>
    <row r="285" spans="1:8" ht="28.5" customHeight="1">
      <c r="A285" s="213" t="s">
        <v>44</v>
      </c>
      <c r="B285" s="84" t="s">
        <v>53</v>
      </c>
      <c r="C285" s="84" t="s">
        <v>55</v>
      </c>
      <c r="D285" s="4" t="s">
        <v>54</v>
      </c>
      <c r="E285" s="84" t="s">
        <v>56</v>
      </c>
      <c r="F285" s="84" t="s">
        <v>56</v>
      </c>
      <c r="G285" s="84" t="s">
        <v>57</v>
      </c>
      <c r="H285" s="84" t="s">
        <v>48</v>
      </c>
    </row>
    <row r="286" spans="1:8">
      <c r="A286" s="212"/>
      <c r="B286" s="146"/>
      <c r="C286" s="85"/>
      <c r="D286" s="85"/>
      <c r="E286" s="85"/>
      <c r="F286" s="313"/>
      <c r="G286" s="136"/>
      <c r="H286" s="145"/>
    </row>
    <row r="287" spans="1:8">
      <c r="A287" s="212" t="s">
        <v>251</v>
      </c>
      <c r="B287" s="231" t="s">
        <v>252</v>
      </c>
      <c r="C287" s="85"/>
      <c r="D287" s="85"/>
      <c r="E287" s="85"/>
      <c r="F287" s="313"/>
      <c r="G287" s="136"/>
      <c r="H287" s="145"/>
    </row>
    <row r="288" spans="1:8">
      <c r="A288" s="212"/>
      <c r="B288" s="148"/>
      <c r="C288" s="86"/>
      <c r="D288" s="85"/>
      <c r="E288" s="87"/>
      <c r="F288" s="316"/>
      <c r="G288" s="137"/>
      <c r="H288" s="145"/>
    </row>
    <row r="289" spans="1:8">
      <c r="A289" s="212"/>
      <c r="B289" s="148" t="s">
        <v>253</v>
      </c>
      <c r="C289" s="86" t="s">
        <v>90</v>
      </c>
      <c r="D289" s="85">
        <v>14</v>
      </c>
      <c r="E289" s="110">
        <v>250</v>
      </c>
      <c r="F289" s="314">
        <f t="shared" ref="F289:F293" si="43">E289*1.35</f>
        <v>337.5</v>
      </c>
      <c r="G289" s="138">
        <f t="shared" ref="G289:G293" si="44">D289*F289</f>
        <v>4725</v>
      </c>
      <c r="H289" s="145"/>
    </row>
    <row r="290" spans="1:8">
      <c r="A290" s="212"/>
      <c r="B290" s="148" t="s">
        <v>254</v>
      </c>
      <c r="C290" s="86" t="s">
        <v>90</v>
      </c>
      <c r="D290" s="85">
        <v>28</v>
      </c>
      <c r="E290" s="110">
        <v>100</v>
      </c>
      <c r="F290" s="314">
        <f t="shared" si="43"/>
        <v>135</v>
      </c>
      <c r="G290" s="138">
        <f t="shared" si="44"/>
        <v>3780</v>
      </c>
      <c r="H290" s="145"/>
    </row>
    <row r="291" spans="1:8">
      <c r="A291" s="212"/>
      <c r="B291" s="148" t="s">
        <v>255</v>
      </c>
      <c r="C291" s="86" t="s">
        <v>90</v>
      </c>
      <c r="D291" s="85">
        <v>14</v>
      </c>
      <c r="E291" s="110">
        <v>75</v>
      </c>
      <c r="F291" s="314">
        <f t="shared" si="43"/>
        <v>101.25</v>
      </c>
      <c r="G291" s="138">
        <f t="shared" si="44"/>
        <v>1417.5</v>
      </c>
      <c r="H291" s="145"/>
    </row>
    <row r="292" spans="1:8">
      <c r="A292" s="212"/>
      <c r="B292" s="148" t="s">
        <v>256</v>
      </c>
      <c r="C292" s="86" t="s">
        <v>90</v>
      </c>
      <c r="D292" s="85">
        <v>14</v>
      </c>
      <c r="E292" s="110">
        <v>95</v>
      </c>
      <c r="F292" s="314">
        <f t="shared" si="43"/>
        <v>128.25</v>
      </c>
      <c r="G292" s="138">
        <f t="shared" si="44"/>
        <v>1795.5</v>
      </c>
      <c r="H292" s="145"/>
    </row>
    <row r="293" spans="1:8">
      <c r="A293" s="212"/>
      <c r="B293" s="148" t="s">
        <v>257</v>
      </c>
      <c r="C293" s="86" t="s">
        <v>90</v>
      </c>
      <c r="D293" s="85">
        <v>14</v>
      </c>
      <c r="E293" s="110">
        <v>120</v>
      </c>
      <c r="F293" s="314">
        <f t="shared" si="43"/>
        <v>162</v>
      </c>
      <c r="G293" s="138">
        <f t="shared" si="44"/>
        <v>2268</v>
      </c>
      <c r="H293" s="145"/>
    </row>
    <row r="294" spans="1:8">
      <c r="A294" s="212"/>
      <c r="B294" s="148"/>
      <c r="C294" s="86"/>
      <c r="D294" s="85"/>
      <c r="E294" s="87"/>
      <c r="F294" s="316"/>
      <c r="G294" s="137"/>
      <c r="H294" s="145"/>
    </row>
    <row r="295" spans="1:8">
      <c r="A295" s="212"/>
      <c r="B295" s="287" t="s">
        <v>75</v>
      </c>
      <c r="C295" s="86"/>
      <c r="D295" s="85"/>
      <c r="E295" s="87"/>
      <c r="F295" s="316"/>
      <c r="G295" s="137"/>
      <c r="H295" s="271">
        <f>SUM(G287:G294)</f>
        <v>13986</v>
      </c>
    </row>
    <row r="296" spans="1:8" ht="28.5" customHeight="1">
      <c r="A296" s="213" t="s">
        <v>44</v>
      </c>
      <c r="B296" s="84" t="s">
        <v>53</v>
      </c>
      <c r="C296" s="84" t="s">
        <v>55</v>
      </c>
      <c r="D296" s="4" t="s">
        <v>54</v>
      </c>
      <c r="E296" s="84" t="s">
        <v>56</v>
      </c>
      <c r="F296" s="84" t="s">
        <v>56</v>
      </c>
      <c r="G296" s="84" t="s">
        <v>57</v>
      </c>
      <c r="H296" s="84" t="s">
        <v>48</v>
      </c>
    </row>
    <row r="297" spans="1:8">
      <c r="A297" s="212"/>
      <c r="B297" s="146"/>
      <c r="C297" s="85"/>
      <c r="D297" s="85"/>
      <c r="E297" s="85"/>
      <c r="F297" s="313"/>
      <c r="G297" s="136"/>
      <c r="H297" s="145"/>
    </row>
    <row r="298" spans="1:8">
      <c r="A298" s="212" t="s">
        <v>258</v>
      </c>
      <c r="B298" s="231" t="s">
        <v>259</v>
      </c>
      <c r="C298" s="85"/>
      <c r="D298" s="85"/>
      <c r="E298" s="85"/>
      <c r="F298" s="313"/>
      <c r="G298" s="136"/>
      <c r="H298" s="145"/>
    </row>
    <row r="299" spans="1:8">
      <c r="A299" s="212"/>
      <c r="B299" s="148" t="s">
        <v>260</v>
      </c>
      <c r="C299" s="85" t="s">
        <v>90</v>
      </c>
      <c r="D299" s="85">
        <v>7</v>
      </c>
      <c r="E299" s="85">
        <v>1000</v>
      </c>
      <c r="F299" s="314">
        <f t="shared" ref="F299:F306" si="45">E299*1.35</f>
        <v>1350</v>
      </c>
      <c r="G299" s="138">
        <f>D299*F299</f>
        <v>9450</v>
      </c>
      <c r="H299" s="145"/>
    </row>
    <row r="300" spans="1:8">
      <c r="A300" s="212"/>
      <c r="B300" s="148" t="s">
        <v>261</v>
      </c>
      <c r="C300" s="85" t="s">
        <v>90</v>
      </c>
      <c r="D300" s="85">
        <v>7</v>
      </c>
      <c r="E300" s="85">
        <v>1250</v>
      </c>
      <c r="F300" s="314">
        <f t="shared" si="45"/>
        <v>1687.5</v>
      </c>
      <c r="G300" s="138">
        <f t="shared" ref="G300:G306" si="46">D300*F300</f>
        <v>11812.5</v>
      </c>
      <c r="H300" s="145"/>
    </row>
    <row r="301" spans="1:8">
      <c r="A301" s="212"/>
      <c r="B301" s="148" t="s">
        <v>262</v>
      </c>
      <c r="C301" s="85" t="s">
        <v>90</v>
      </c>
      <c r="D301" s="85">
        <v>7</v>
      </c>
      <c r="E301" s="85">
        <v>1200</v>
      </c>
      <c r="F301" s="314">
        <f t="shared" si="45"/>
        <v>1620</v>
      </c>
      <c r="G301" s="138">
        <f t="shared" si="46"/>
        <v>11340</v>
      </c>
      <c r="H301" s="145"/>
    </row>
    <row r="302" spans="1:8">
      <c r="A302" s="212"/>
      <c r="B302" s="148" t="s">
        <v>263</v>
      </c>
      <c r="C302" s="85" t="s">
        <v>90</v>
      </c>
      <c r="D302" s="85">
        <v>7</v>
      </c>
      <c r="E302" s="85">
        <v>1800</v>
      </c>
      <c r="F302" s="314">
        <f t="shared" si="45"/>
        <v>2430</v>
      </c>
      <c r="G302" s="138">
        <f t="shared" si="46"/>
        <v>17010</v>
      </c>
      <c r="H302" s="145"/>
    </row>
    <row r="303" spans="1:8">
      <c r="A303" s="212"/>
      <c r="B303" s="148" t="s">
        <v>264</v>
      </c>
      <c r="C303" s="85" t="s">
        <v>90</v>
      </c>
      <c r="D303" s="85">
        <v>7</v>
      </c>
      <c r="E303" s="85">
        <v>1300</v>
      </c>
      <c r="F303" s="314">
        <f t="shared" si="45"/>
        <v>1755.0000000000002</v>
      </c>
      <c r="G303" s="138">
        <f t="shared" si="46"/>
        <v>12285.000000000002</v>
      </c>
      <c r="H303" s="145"/>
    </row>
    <row r="304" spans="1:8">
      <c r="A304" s="212"/>
      <c r="B304" s="148" t="s">
        <v>265</v>
      </c>
      <c r="C304" s="85" t="s">
        <v>90</v>
      </c>
      <c r="D304" s="85">
        <v>7</v>
      </c>
      <c r="E304" s="85">
        <v>450</v>
      </c>
      <c r="F304" s="314">
        <f t="shared" si="45"/>
        <v>607.5</v>
      </c>
      <c r="G304" s="138">
        <f t="shared" si="46"/>
        <v>4252.5</v>
      </c>
      <c r="H304" s="145"/>
    </row>
    <row r="305" spans="1:8">
      <c r="A305" s="212"/>
      <c r="B305" s="148" t="s">
        <v>266</v>
      </c>
      <c r="C305" s="85" t="s">
        <v>90</v>
      </c>
      <c r="D305" s="85">
        <v>7</v>
      </c>
      <c r="E305" s="85">
        <v>1200</v>
      </c>
      <c r="F305" s="314">
        <f t="shared" si="45"/>
        <v>1620</v>
      </c>
      <c r="G305" s="138">
        <f t="shared" si="46"/>
        <v>11340</v>
      </c>
      <c r="H305" s="145"/>
    </row>
    <row r="306" spans="1:8">
      <c r="A306" s="212"/>
      <c r="B306" s="148" t="s">
        <v>267</v>
      </c>
      <c r="C306" s="85" t="s">
        <v>90</v>
      </c>
      <c r="D306" s="85">
        <v>7</v>
      </c>
      <c r="E306" s="85">
        <v>1100</v>
      </c>
      <c r="F306" s="314">
        <f t="shared" si="45"/>
        <v>1485</v>
      </c>
      <c r="G306" s="138">
        <f t="shared" si="46"/>
        <v>10395</v>
      </c>
      <c r="H306" s="145"/>
    </row>
    <row r="307" spans="1:8">
      <c r="A307" s="212"/>
      <c r="B307" s="287" t="s">
        <v>75</v>
      </c>
      <c r="C307" s="86"/>
      <c r="D307" s="85"/>
      <c r="E307" s="87"/>
      <c r="F307" s="316"/>
      <c r="G307" s="137"/>
      <c r="H307" s="271">
        <f>SUM(G298:G306)</f>
        <v>87885</v>
      </c>
    </row>
    <row r="308" spans="1:8" ht="28.5" customHeight="1" thickBot="1">
      <c r="A308" s="213" t="s">
        <v>44</v>
      </c>
      <c r="B308" s="84" t="s">
        <v>53</v>
      </c>
      <c r="C308" s="84" t="s">
        <v>55</v>
      </c>
      <c r="D308" s="4" t="s">
        <v>54</v>
      </c>
      <c r="E308" s="84" t="s">
        <v>56</v>
      </c>
      <c r="F308" s="84" t="s">
        <v>56</v>
      </c>
      <c r="G308" s="84" t="s">
        <v>57</v>
      </c>
      <c r="H308" s="84" t="s">
        <v>48</v>
      </c>
    </row>
    <row r="309" spans="1:8" ht="15" thickTop="1">
      <c r="A309" s="212"/>
      <c r="B309" s="146"/>
      <c r="C309" s="85"/>
      <c r="D309" s="85"/>
      <c r="E309" s="85"/>
      <c r="F309" s="313"/>
      <c r="G309" s="136"/>
      <c r="H309" s="5"/>
    </row>
    <row r="310" spans="1:8">
      <c r="A310" s="212" t="s">
        <v>268</v>
      </c>
      <c r="B310" s="232" t="s">
        <v>269</v>
      </c>
      <c r="C310" s="85"/>
      <c r="D310" s="85"/>
      <c r="E310" s="85"/>
      <c r="F310" s="313"/>
      <c r="G310" s="136"/>
    </row>
    <row r="311" spans="1:8">
      <c r="A311" s="212"/>
      <c r="B311" s="148"/>
      <c r="C311" s="86"/>
      <c r="D311" s="85"/>
      <c r="E311" s="87"/>
      <c r="F311" s="316"/>
      <c r="G311" s="137"/>
    </row>
    <row r="312" spans="1:8">
      <c r="A312" s="212"/>
      <c r="B312" s="148" t="s">
        <v>270</v>
      </c>
      <c r="C312" s="86" t="s">
        <v>90</v>
      </c>
      <c r="D312" s="85">
        <v>8</v>
      </c>
      <c r="E312" s="110">
        <v>25000</v>
      </c>
      <c r="F312" s="314">
        <f t="shared" ref="F312:F313" si="47">E312*1.35</f>
        <v>33750</v>
      </c>
      <c r="G312" s="138">
        <f>D312*F312</f>
        <v>270000</v>
      </c>
    </row>
    <row r="313" spans="1:8">
      <c r="A313" s="212"/>
      <c r="B313" s="148" t="s">
        <v>271</v>
      </c>
      <c r="C313" s="86" t="s">
        <v>62</v>
      </c>
      <c r="D313" s="85">
        <v>1</v>
      </c>
      <c r="E313" s="110">
        <v>20000</v>
      </c>
      <c r="F313" s="314">
        <f t="shared" si="47"/>
        <v>27000</v>
      </c>
      <c r="G313" s="138">
        <f>D313*F313</f>
        <v>27000</v>
      </c>
    </row>
    <row r="314" spans="1:8">
      <c r="A314" s="212"/>
      <c r="B314" s="148"/>
      <c r="C314" s="86"/>
      <c r="D314" s="85"/>
      <c r="E314" s="87"/>
      <c r="F314" s="316"/>
      <c r="G314" s="137"/>
    </row>
    <row r="315" spans="1:8">
      <c r="A315" s="212"/>
      <c r="B315" s="287" t="s">
        <v>75</v>
      </c>
      <c r="C315" s="86"/>
      <c r="D315" s="85"/>
      <c r="E315" s="87"/>
      <c r="F315" s="316"/>
      <c r="G315" s="137"/>
      <c r="H315" s="241">
        <f>SUM(G311:G314)</f>
        <v>297000</v>
      </c>
    </row>
    <row r="316" spans="1:8" ht="28.5" customHeight="1" thickBot="1">
      <c r="A316" s="213" t="s">
        <v>44</v>
      </c>
      <c r="B316" s="84"/>
      <c r="C316" s="84" t="s">
        <v>55</v>
      </c>
      <c r="D316" s="4" t="s">
        <v>54</v>
      </c>
      <c r="E316" s="84" t="s">
        <v>56</v>
      </c>
      <c r="F316" s="84" t="s">
        <v>56</v>
      </c>
      <c r="G316" s="84" t="s">
        <v>57</v>
      </c>
      <c r="H316" s="7" t="s">
        <v>48</v>
      </c>
    </row>
    <row r="317" spans="1:8" ht="15" thickTop="1">
      <c r="A317" s="212"/>
      <c r="B317" s="146"/>
      <c r="C317" s="85"/>
      <c r="D317" s="85"/>
      <c r="E317" s="85"/>
      <c r="F317" s="313"/>
      <c r="G317" s="136"/>
      <c r="H317" s="5"/>
    </row>
    <row r="318" spans="1:8">
      <c r="A318" s="212" t="s">
        <v>272</v>
      </c>
      <c r="B318" s="232" t="s">
        <v>273</v>
      </c>
      <c r="C318" s="85"/>
      <c r="D318" s="85"/>
      <c r="E318" s="85"/>
      <c r="F318" s="313"/>
      <c r="G318" s="136"/>
    </row>
    <row r="319" spans="1:8">
      <c r="A319" s="212"/>
      <c r="B319" s="83"/>
      <c r="G319" s="14"/>
    </row>
    <row r="320" spans="1:8">
      <c r="A320" s="212"/>
      <c r="B320" s="162" t="s">
        <v>274</v>
      </c>
      <c r="C320" s="15" t="s">
        <v>90</v>
      </c>
      <c r="D320" s="16">
        <f>15*8</f>
        <v>120</v>
      </c>
      <c r="E320" s="114">
        <v>300</v>
      </c>
      <c r="F320" s="314">
        <f t="shared" ref="F320:F331" si="48">E320*1.35</f>
        <v>405</v>
      </c>
      <c r="G320" s="138">
        <f>D320*F320</f>
        <v>48600</v>
      </c>
    </row>
    <row r="321" spans="1:8" ht="28.8">
      <c r="A321" s="212"/>
      <c r="B321" s="162" t="s">
        <v>275</v>
      </c>
      <c r="C321" s="15" t="s">
        <v>62</v>
      </c>
      <c r="D321" s="16">
        <v>1</v>
      </c>
      <c r="E321" s="114">
        <v>25000</v>
      </c>
      <c r="F321" s="314">
        <f t="shared" si="48"/>
        <v>33750</v>
      </c>
      <c r="G321" s="138">
        <f>D321*F321</f>
        <v>33750</v>
      </c>
    </row>
    <row r="322" spans="1:8">
      <c r="A322" s="212"/>
      <c r="B322" s="162" t="s">
        <v>276</v>
      </c>
      <c r="C322" s="15" t="s">
        <v>62</v>
      </c>
      <c r="D322" s="16">
        <v>1</v>
      </c>
      <c r="E322" s="114">
        <v>6000</v>
      </c>
      <c r="F322" s="314">
        <f t="shared" si="48"/>
        <v>8100.0000000000009</v>
      </c>
      <c r="G322" s="138">
        <f t="shared" ref="G322:G331" si="49">D322*F322</f>
        <v>8100.0000000000009</v>
      </c>
    </row>
    <row r="323" spans="1:8">
      <c r="A323" s="216"/>
      <c r="B323" s="162" t="s">
        <v>277</v>
      </c>
      <c r="C323" s="15" t="s">
        <v>62</v>
      </c>
      <c r="D323" s="16">
        <v>1</v>
      </c>
      <c r="E323" s="114">
        <v>4500</v>
      </c>
      <c r="F323" s="314">
        <f t="shared" si="48"/>
        <v>6075</v>
      </c>
      <c r="G323" s="138">
        <f t="shared" si="49"/>
        <v>6075</v>
      </c>
    </row>
    <row r="324" spans="1:8">
      <c r="A324" s="200"/>
      <c r="B324" s="162" t="s">
        <v>278</v>
      </c>
      <c r="C324" s="15" t="s">
        <v>62</v>
      </c>
      <c r="D324" s="16">
        <v>1</v>
      </c>
      <c r="E324" s="114">
        <v>3500</v>
      </c>
      <c r="F324" s="314">
        <f t="shared" si="48"/>
        <v>4725</v>
      </c>
      <c r="G324" s="138">
        <f t="shared" si="49"/>
        <v>4725</v>
      </c>
    </row>
    <row r="325" spans="1:8">
      <c r="A325" s="200"/>
      <c r="B325" s="162" t="s">
        <v>279</v>
      </c>
      <c r="C325" s="15" t="s">
        <v>90</v>
      </c>
      <c r="D325" s="16">
        <v>1</v>
      </c>
      <c r="E325" s="114">
        <v>1500</v>
      </c>
      <c r="F325" s="314">
        <f t="shared" si="48"/>
        <v>2025.0000000000002</v>
      </c>
      <c r="G325" s="138">
        <f t="shared" si="49"/>
        <v>2025.0000000000002</v>
      </c>
    </row>
    <row r="326" spans="1:8">
      <c r="A326" s="200"/>
      <c r="B326" s="162" t="s">
        <v>280</v>
      </c>
      <c r="C326" s="15" t="s">
        <v>90</v>
      </c>
      <c r="D326" s="16">
        <v>1</v>
      </c>
      <c r="E326" s="114">
        <v>6500</v>
      </c>
      <c r="F326" s="314">
        <f t="shared" si="48"/>
        <v>8775</v>
      </c>
      <c r="G326" s="138">
        <f t="shared" si="49"/>
        <v>8775</v>
      </c>
    </row>
    <row r="327" spans="1:8">
      <c r="A327" s="200"/>
      <c r="B327" s="162" t="s">
        <v>281</v>
      </c>
      <c r="C327" s="15" t="s">
        <v>90</v>
      </c>
      <c r="D327" s="16">
        <v>1</v>
      </c>
      <c r="E327" s="114">
        <v>500</v>
      </c>
      <c r="F327" s="314">
        <f t="shared" si="48"/>
        <v>675</v>
      </c>
      <c r="G327" s="138">
        <f t="shared" si="49"/>
        <v>675</v>
      </c>
    </row>
    <row r="328" spans="1:8">
      <c r="A328" s="200"/>
      <c r="B328" s="162" t="s">
        <v>282</v>
      </c>
      <c r="C328" s="15" t="s">
        <v>90</v>
      </c>
      <c r="D328" s="16">
        <v>8</v>
      </c>
      <c r="E328" s="114">
        <v>800</v>
      </c>
      <c r="F328" s="314">
        <f t="shared" si="48"/>
        <v>1080</v>
      </c>
      <c r="G328" s="138">
        <f t="shared" si="49"/>
        <v>8640</v>
      </c>
    </row>
    <row r="329" spans="1:8">
      <c r="A329" s="200"/>
      <c r="B329" s="162" t="s">
        <v>283</v>
      </c>
      <c r="C329" s="15" t="s">
        <v>90</v>
      </c>
      <c r="D329" s="16">
        <v>8</v>
      </c>
      <c r="E329" s="114">
        <v>400</v>
      </c>
      <c r="F329" s="314">
        <f t="shared" si="48"/>
        <v>540</v>
      </c>
      <c r="G329" s="138">
        <f t="shared" si="49"/>
        <v>4320</v>
      </c>
    </row>
    <row r="330" spans="1:8">
      <c r="A330" s="200"/>
      <c r="B330" s="162" t="s">
        <v>284</v>
      </c>
      <c r="C330" s="15" t="s">
        <v>90</v>
      </c>
      <c r="D330" s="16">
        <v>1</v>
      </c>
      <c r="E330" s="114">
        <v>1200</v>
      </c>
      <c r="F330" s="314">
        <v>1900</v>
      </c>
      <c r="G330" s="138">
        <f t="shared" si="49"/>
        <v>1900</v>
      </c>
    </row>
    <row r="331" spans="1:8">
      <c r="A331" s="200"/>
      <c r="B331" s="162" t="s">
        <v>285</v>
      </c>
      <c r="C331" s="15" t="s">
        <v>68</v>
      </c>
      <c r="D331" s="16">
        <v>90</v>
      </c>
      <c r="E331" s="114">
        <v>75</v>
      </c>
      <c r="F331" s="314">
        <f t="shared" si="48"/>
        <v>101.25</v>
      </c>
      <c r="G331" s="138">
        <f t="shared" si="49"/>
        <v>9112.5</v>
      </c>
    </row>
    <row r="332" spans="1:8">
      <c r="A332" s="200"/>
      <c r="B332" s="162" t="s">
        <v>286</v>
      </c>
      <c r="C332" s="15" t="s">
        <v>68</v>
      </c>
      <c r="D332" s="16"/>
      <c r="E332" s="114"/>
      <c r="F332" s="327"/>
      <c r="G332" s="141"/>
    </row>
    <row r="333" spans="1:8">
      <c r="A333" s="200"/>
      <c r="B333" s="162" t="s">
        <v>287</v>
      </c>
      <c r="C333" s="15" t="s">
        <v>68</v>
      </c>
      <c r="D333" s="16"/>
      <c r="E333" s="114"/>
      <c r="F333" s="327"/>
      <c r="G333" s="141"/>
    </row>
    <row r="334" spans="1:8">
      <c r="A334" s="200"/>
      <c r="B334" s="162" t="s">
        <v>288</v>
      </c>
      <c r="C334" s="15" t="s">
        <v>68</v>
      </c>
      <c r="D334" s="16"/>
      <c r="E334" s="114"/>
      <c r="F334" s="327"/>
      <c r="G334" s="141"/>
    </row>
    <row r="335" spans="1:8">
      <c r="A335" s="200"/>
      <c r="B335" s="162"/>
      <c r="C335" s="15"/>
      <c r="D335" s="16"/>
      <c r="E335" s="17"/>
      <c r="F335" s="324"/>
      <c r="G335" s="141"/>
    </row>
    <row r="336" spans="1:8">
      <c r="A336" s="200"/>
      <c r="B336" s="287" t="s">
        <v>75</v>
      </c>
      <c r="C336" s="15"/>
      <c r="D336" s="16"/>
      <c r="E336" s="17"/>
      <c r="F336" s="324"/>
      <c r="G336" s="141"/>
      <c r="H336" s="241">
        <f>SUM(G320:G335)</f>
        <v>136697.5</v>
      </c>
    </row>
    <row r="337" spans="1:8" ht="28.5" customHeight="1" thickBot="1">
      <c r="A337" s="217" t="s">
        <v>44</v>
      </c>
      <c r="B337" s="7" t="s">
        <v>53</v>
      </c>
      <c r="C337" s="7" t="s">
        <v>55</v>
      </c>
      <c r="D337" s="3" t="s">
        <v>54</v>
      </c>
      <c r="E337" s="7" t="s">
        <v>56</v>
      </c>
      <c r="F337" s="84" t="s">
        <v>56</v>
      </c>
      <c r="G337" s="7" t="s">
        <v>57</v>
      </c>
      <c r="H337" s="7" t="s">
        <v>48</v>
      </c>
    </row>
    <row r="338" spans="1:8" ht="15" thickTop="1">
      <c r="A338" s="212"/>
      <c r="B338" s="146"/>
      <c r="C338" s="85"/>
      <c r="D338" s="85"/>
      <c r="E338" s="85"/>
      <c r="F338" s="313"/>
      <c r="G338" s="136"/>
      <c r="H338" s="5"/>
    </row>
    <row r="339" spans="1:8">
      <c r="A339" s="216" t="s">
        <v>289</v>
      </c>
      <c r="B339" s="232" t="s">
        <v>290</v>
      </c>
      <c r="C339" s="85"/>
      <c r="D339" s="85"/>
      <c r="E339" s="85"/>
      <c r="F339" s="313"/>
      <c r="G339" s="136"/>
    </row>
    <row r="340" spans="1:8">
      <c r="A340" s="200"/>
      <c r="B340" s="162" t="s">
        <v>291</v>
      </c>
      <c r="C340" s="15" t="s">
        <v>62</v>
      </c>
      <c r="D340" s="16">
        <v>1</v>
      </c>
      <c r="E340" s="114">
        <f>7*20000</f>
        <v>140000</v>
      </c>
      <c r="F340" s="314">
        <v>220000</v>
      </c>
      <c r="G340" s="138">
        <f t="shared" ref="G340:G346" si="50">D340*F340</f>
        <v>220000</v>
      </c>
    </row>
    <row r="341" spans="1:8">
      <c r="A341" s="200"/>
      <c r="B341" s="162" t="s">
        <v>292</v>
      </c>
      <c r="C341" s="15" t="s">
        <v>90</v>
      </c>
      <c r="D341" s="16">
        <v>1</v>
      </c>
      <c r="E341" s="114">
        <v>20000</v>
      </c>
      <c r="F341" s="314">
        <f t="shared" ref="F341:F346" si="51">E341*1.35</f>
        <v>27000</v>
      </c>
      <c r="G341" s="138">
        <f t="shared" si="50"/>
        <v>27000</v>
      </c>
    </row>
    <row r="342" spans="1:8">
      <c r="A342" s="200"/>
      <c r="B342" s="162" t="s">
        <v>293</v>
      </c>
      <c r="C342" s="15" t="s">
        <v>90</v>
      </c>
      <c r="D342" s="16">
        <v>1</v>
      </c>
      <c r="E342" s="114">
        <v>20000</v>
      </c>
      <c r="F342" s="314">
        <f t="shared" si="51"/>
        <v>27000</v>
      </c>
      <c r="G342" s="138">
        <f t="shared" si="50"/>
        <v>27000</v>
      </c>
    </row>
    <row r="343" spans="1:8">
      <c r="A343" s="200"/>
      <c r="B343" s="162" t="s">
        <v>294</v>
      </c>
      <c r="C343" s="15" t="s">
        <v>62</v>
      </c>
      <c r="D343" s="16">
        <v>1</v>
      </c>
      <c r="E343" s="114">
        <v>25000</v>
      </c>
      <c r="F343" s="314">
        <f t="shared" si="51"/>
        <v>33750</v>
      </c>
      <c r="G343" s="138">
        <f t="shared" si="50"/>
        <v>33750</v>
      </c>
    </row>
    <row r="344" spans="1:8">
      <c r="A344" s="120"/>
      <c r="B344" s="98" t="s">
        <v>295</v>
      </c>
      <c r="C344" s="107"/>
      <c r="E344" s="117"/>
      <c r="F344" s="314"/>
      <c r="G344" s="138"/>
    </row>
    <row r="345" spans="1:8">
      <c r="A345" s="212"/>
      <c r="B345" s="148" t="s">
        <v>296</v>
      </c>
      <c r="C345" s="86" t="s">
        <v>62</v>
      </c>
      <c r="D345" s="307">
        <v>1</v>
      </c>
      <c r="E345" s="110">
        <v>35000</v>
      </c>
      <c r="F345" s="314">
        <f t="shared" si="51"/>
        <v>47250</v>
      </c>
      <c r="G345" s="138">
        <f t="shared" si="50"/>
        <v>47250</v>
      </c>
    </row>
    <row r="346" spans="1:8">
      <c r="A346" s="212"/>
      <c r="B346" s="148" t="s">
        <v>297</v>
      </c>
      <c r="C346" s="86" t="s">
        <v>90</v>
      </c>
      <c r="D346" s="307">
        <v>14</v>
      </c>
      <c r="E346" s="110">
        <v>1200</v>
      </c>
      <c r="F346" s="314">
        <f t="shared" si="51"/>
        <v>1620</v>
      </c>
      <c r="G346" s="138">
        <f t="shared" si="50"/>
        <v>22680</v>
      </c>
    </row>
    <row r="347" spans="1:8">
      <c r="A347" s="212"/>
      <c r="B347" s="155" t="s">
        <v>298</v>
      </c>
      <c r="C347" s="86"/>
      <c r="D347" s="272" t="s">
        <v>299</v>
      </c>
      <c r="E347" s="110"/>
      <c r="F347" s="248"/>
      <c r="G347" s="137"/>
    </row>
    <row r="348" spans="1:8">
      <c r="A348" s="212"/>
      <c r="B348" s="148" t="s">
        <v>300</v>
      </c>
      <c r="C348" s="86" t="s">
        <v>68</v>
      </c>
      <c r="D348" s="272" t="s">
        <v>299</v>
      </c>
      <c r="E348" s="110"/>
      <c r="F348" s="248"/>
      <c r="G348" s="137"/>
    </row>
    <row r="349" spans="1:8">
      <c r="A349" s="212"/>
      <c r="B349" s="148" t="s">
        <v>301</v>
      </c>
      <c r="C349" s="86" t="s">
        <v>68</v>
      </c>
      <c r="D349" s="272" t="s">
        <v>299</v>
      </c>
      <c r="E349" s="110"/>
      <c r="F349" s="248"/>
      <c r="G349" s="137"/>
    </row>
    <row r="350" spans="1:8">
      <c r="A350" s="212"/>
      <c r="B350" s="155" t="s">
        <v>302</v>
      </c>
      <c r="C350" s="86"/>
      <c r="D350" s="272" t="s">
        <v>299</v>
      </c>
      <c r="E350" s="110"/>
      <c r="F350" s="248"/>
      <c r="G350" s="137"/>
    </row>
    <row r="351" spans="1:8">
      <c r="A351" s="212"/>
      <c r="B351" s="148" t="s">
        <v>303</v>
      </c>
      <c r="C351" s="86" t="s">
        <v>68</v>
      </c>
      <c r="D351" s="272" t="s">
        <v>299</v>
      </c>
      <c r="E351" s="110"/>
      <c r="F351" s="248"/>
      <c r="G351" s="137"/>
    </row>
    <row r="352" spans="1:8">
      <c r="A352" s="212"/>
      <c r="B352" s="148" t="s">
        <v>304</v>
      </c>
      <c r="C352" s="86" t="s">
        <v>68</v>
      </c>
      <c r="D352" s="272" t="s">
        <v>299</v>
      </c>
      <c r="E352" s="110"/>
      <c r="F352" s="248"/>
      <c r="G352" s="137"/>
    </row>
    <row r="353" spans="1:8">
      <c r="A353" s="212"/>
      <c r="B353" s="148" t="s">
        <v>305</v>
      </c>
      <c r="C353" s="86" t="s">
        <v>68</v>
      </c>
      <c r="D353" s="272" t="s">
        <v>299</v>
      </c>
      <c r="E353" s="110"/>
      <c r="F353" s="248"/>
      <c r="G353" s="137"/>
      <c r="H353" s="120"/>
    </row>
    <row r="354" spans="1:8">
      <c r="A354" s="212"/>
      <c r="B354" s="148" t="s">
        <v>306</v>
      </c>
      <c r="C354" s="86" t="s">
        <v>68</v>
      </c>
      <c r="D354" s="272" t="s">
        <v>299</v>
      </c>
      <c r="E354" s="110"/>
      <c r="F354" s="248"/>
      <c r="G354" s="137"/>
    </row>
    <row r="355" spans="1:8">
      <c r="A355" s="212"/>
      <c r="B355" s="155" t="s">
        <v>307</v>
      </c>
      <c r="C355" s="86"/>
      <c r="D355" s="272" t="s">
        <v>299</v>
      </c>
      <c r="E355" s="110"/>
      <c r="F355" s="248"/>
      <c r="G355" s="137"/>
    </row>
    <row r="356" spans="1:8">
      <c r="A356" s="212"/>
      <c r="B356" s="148" t="s">
        <v>308</v>
      </c>
      <c r="C356" s="86" t="s">
        <v>68</v>
      </c>
      <c r="D356" s="272" t="s">
        <v>299</v>
      </c>
      <c r="E356" s="110"/>
      <c r="F356" s="248"/>
      <c r="G356" s="137"/>
    </row>
    <row r="357" spans="1:8">
      <c r="A357" s="212"/>
      <c r="B357" s="155" t="s">
        <v>309</v>
      </c>
      <c r="C357" s="86"/>
      <c r="D357" s="272" t="s">
        <v>299</v>
      </c>
      <c r="E357" s="110"/>
      <c r="F357" s="248"/>
      <c r="G357" s="137"/>
    </row>
    <row r="358" spans="1:8">
      <c r="A358" s="216"/>
      <c r="B358" s="148" t="s">
        <v>310</v>
      </c>
      <c r="C358" s="86" t="s">
        <v>68</v>
      </c>
      <c r="D358" s="272" t="s">
        <v>299</v>
      </c>
      <c r="E358" s="110"/>
      <c r="F358" s="248"/>
      <c r="G358" s="137"/>
    </row>
    <row r="359" spans="1:8">
      <c r="A359" s="212"/>
      <c r="B359" s="155" t="s">
        <v>311</v>
      </c>
      <c r="C359" s="86"/>
      <c r="D359" s="272" t="s">
        <v>299</v>
      </c>
      <c r="E359" s="110"/>
      <c r="F359" s="248"/>
      <c r="G359" s="137"/>
    </row>
    <row r="360" spans="1:8">
      <c r="A360" s="212"/>
      <c r="B360" s="148" t="s">
        <v>312</v>
      </c>
      <c r="C360" s="86" t="s">
        <v>68</v>
      </c>
      <c r="D360" s="272" t="s">
        <v>299</v>
      </c>
      <c r="E360" s="110"/>
      <c r="F360" s="248"/>
      <c r="G360" s="137"/>
    </row>
    <row r="361" spans="1:8">
      <c r="A361" s="212"/>
      <c r="B361" s="148" t="s">
        <v>313</v>
      </c>
      <c r="C361" s="86" t="s">
        <v>68</v>
      </c>
      <c r="D361" s="272" t="s">
        <v>299</v>
      </c>
      <c r="E361" s="110"/>
      <c r="F361" s="248"/>
      <c r="G361" s="137"/>
    </row>
    <row r="362" spans="1:8">
      <c r="A362" s="212"/>
      <c r="B362" s="148" t="s">
        <v>314</v>
      </c>
      <c r="C362" s="86" t="s">
        <v>68</v>
      </c>
      <c r="D362" s="272" t="s">
        <v>299</v>
      </c>
      <c r="E362" s="110"/>
      <c r="F362" s="248"/>
      <c r="G362" s="137"/>
      <c r="H362" s="120"/>
    </row>
    <row r="363" spans="1:8">
      <c r="A363" s="212"/>
      <c r="B363" s="148" t="s">
        <v>315</v>
      </c>
      <c r="C363" s="86" t="s">
        <v>68</v>
      </c>
      <c r="D363" s="272" t="s">
        <v>299</v>
      </c>
      <c r="E363" s="110"/>
      <c r="F363" s="248"/>
      <c r="G363" s="137"/>
    </row>
    <row r="364" spans="1:8">
      <c r="A364" s="212"/>
      <c r="B364" s="148" t="s">
        <v>316</v>
      </c>
      <c r="C364" s="86" t="s">
        <v>68</v>
      </c>
      <c r="D364" s="272" t="s">
        <v>299</v>
      </c>
      <c r="E364" s="110"/>
      <c r="F364" s="248"/>
      <c r="G364" s="137"/>
    </row>
    <row r="365" spans="1:8">
      <c r="A365" s="120"/>
      <c r="B365" s="191" t="s">
        <v>317</v>
      </c>
      <c r="C365" s="86" t="s">
        <v>68</v>
      </c>
      <c r="D365" s="272" t="s">
        <v>299</v>
      </c>
      <c r="E365" s="110"/>
      <c r="F365" s="248"/>
      <c r="G365" s="137"/>
    </row>
    <row r="366" spans="1:8">
      <c r="A366" s="120"/>
      <c r="B366" s="191" t="s">
        <v>318</v>
      </c>
      <c r="C366" s="86" t="s">
        <v>68</v>
      </c>
      <c r="D366" s="272" t="s">
        <v>299</v>
      </c>
      <c r="E366" s="110"/>
      <c r="F366" s="248"/>
      <c r="G366" s="137"/>
    </row>
    <row r="367" spans="1:8">
      <c r="A367" s="200"/>
      <c r="B367" s="174" t="s">
        <v>319</v>
      </c>
      <c r="C367" s="15" t="s">
        <v>90</v>
      </c>
      <c r="D367" s="272" t="s">
        <v>299</v>
      </c>
      <c r="E367" s="114"/>
      <c r="F367" s="327"/>
      <c r="G367" s="141"/>
    </row>
    <row r="368" spans="1:8" ht="28.2">
      <c r="A368" s="200"/>
      <c r="B368" s="175" t="s">
        <v>320</v>
      </c>
      <c r="C368" s="15" t="s">
        <v>90</v>
      </c>
      <c r="D368" s="272" t="s">
        <v>299</v>
      </c>
      <c r="E368" s="114"/>
      <c r="F368" s="327"/>
      <c r="G368" s="141"/>
    </row>
    <row r="369" spans="1:8">
      <c r="A369" s="200"/>
      <c r="B369" s="180" t="s">
        <v>321</v>
      </c>
      <c r="C369" s="15"/>
      <c r="D369" s="272" t="s">
        <v>299</v>
      </c>
      <c r="E369" s="114"/>
      <c r="F369" s="327"/>
      <c r="G369" s="141"/>
    </row>
    <row r="370" spans="1:8" ht="27">
      <c r="A370" s="215"/>
      <c r="B370" s="240" t="s">
        <v>322</v>
      </c>
      <c r="C370" s="15" t="s">
        <v>90</v>
      </c>
      <c r="D370" s="272" t="s">
        <v>299</v>
      </c>
      <c r="E370" s="110"/>
      <c r="F370" s="248"/>
      <c r="G370" s="137"/>
    </row>
    <row r="371" spans="1:8" ht="27">
      <c r="A371" s="215"/>
      <c r="B371" s="240" t="s">
        <v>323</v>
      </c>
      <c r="C371" s="15" t="s">
        <v>90</v>
      </c>
      <c r="D371" s="272" t="s">
        <v>299</v>
      </c>
      <c r="E371" s="110"/>
      <c r="F371" s="248"/>
      <c r="G371" s="137"/>
    </row>
    <row r="372" spans="1:8" ht="27">
      <c r="A372" s="215"/>
      <c r="B372" s="240" t="s">
        <v>324</v>
      </c>
      <c r="C372" s="15" t="s">
        <v>90</v>
      </c>
      <c r="D372" s="272" t="s">
        <v>299</v>
      </c>
      <c r="E372" s="110"/>
      <c r="F372" s="248"/>
      <c r="G372" s="137"/>
    </row>
    <row r="373" spans="1:8">
      <c r="A373" s="215"/>
      <c r="B373" s="240" t="s">
        <v>325</v>
      </c>
      <c r="C373" s="15" t="s">
        <v>90</v>
      </c>
      <c r="D373" s="272" t="s">
        <v>299</v>
      </c>
      <c r="E373" s="110"/>
      <c r="F373" s="248"/>
      <c r="G373" s="137"/>
    </row>
    <row r="374" spans="1:8">
      <c r="A374" s="215"/>
      <c r="B374" s="148" t="s">
        <v>326</v>
      </c>
      <c r="C374" s="86" t="s">
        <v>62</v>
      </c>
      <c r="D374" s="272" t="s">
        <v>299</v>
      </c>
      <c r="E374" s="110"/>
      <c r="F374" s="248"/>
      <c r="G374" s="137"/>
    </row>
    <row r="375" spans="1:8">
      <c r="A375" s="215"/>
      <c r="B375" s="148" t="s">
        <v>327</v>
      </c>
      <c r="C375" s="86" t="s">
        <v>62</v>
      </c>
      <c r="D375" s="272" t="s">
        <v>299</v>
      </c>
      <c r="E375" s="110"/>
      <c r="F375" s="248"/>
      <c r="G375" s="137"/>
    </row>
    <row r="376" spans="1:8">
      <c r="A376" s="212"/>
      <c r="B376" s="148"/>
      <c r="C376" s="86"/>
      <c r="D376" s="272"/>
      <c r="E376" s="110"/>
      <c r="F376" s="248"/>
      <c r="G376" s="137"/>
    </row>
    <row r="377" spans="1:8">
      <c r="A377" s="212"/>
      <c r="B377" s="287" t="s">
        <v>75</v>
      </c>
      <c r="C377" s="86"/>
      <c r="D377" s="85"/>
      <c r="E377" s="110"/>
      <c r="F377" s="248"/>
      <c r="G377" s="137"/>
      <c r="H377" s="241">
        <f>SUM(G339:G376)</f>
        <v>377680</v>
      </c>
    </row>
    <row r="378" spans="1:8" ht="28.5" customHeight="1" thickBot="1">
      <c r="A378" s="213" t="s">
        <v>44</v>
      </c>
      <c r="B378" s="84" t="s">
        <v>53</v>
      </c>
      <c r="C378" s="84" t="s">
        <v>55</v>
      </c>
      <c r="D378" s="4" t="s">
        <v>54</v>
      </c>
      <c r="E378" s="112" t="s">
        <v>56</v>
      </c>
      <c r="F378" s="84" t="s">
        <v>56</v>
      </c>
      <c r="G378" s="84" t="s">
        <v>57</v>
      </c>
      <c r="H378" s="7" t="s">
        <v>48</v>
      </c>
    </row>
    <row r="379" spans="1:8" ht="15" thickTop="1">
      <c r="A379" s="212"/>
      <c r="B379" s="146"/>
      <c r="C379" s="85"/>
      <c r="D379" s="85"/>
      <c r="E379" s="113"/>
      <c r="F379" s="318"/>
      <c r="G379" s="136"/>
      <c r="H379" s="5"/>
    </row>
    <row r="380" spans="1:8">
      <c r="A380" s="212" t="s">
        <v>328</v>
      </c>
      <c r="B380" s="231" t="s">
        <v>329</v>
      </c>
      <c r="C380" s="85"/>
      <c r="D380" s="85"/>
      <c r="E380" s="113"/>
      <c r="F380" s="318"/>
      <c r="G380" s="136"/>
    </row>
    <row r="381" spans="1:8">
      <c r="A381" s="212"/>
      <c r="B381" s="158"/>
      <c r="C381" s="86"/>
      <c r="D381" s="85"/>
      <c r="E381" s="110"/>
      <c r="F381" s="248"/>
      <c r="G381" s="137"/>
    </row>
    <row r="382" spans="1:8">
      <c r="A382" s="212"/>
      <c r="B382" s="176" t="s">
        <v>330</v>
      </c>
      <c r="C382" s="86"/>
      <c r="D382" s="85"/>
      <c r="E382" s="110"/>
      <c r="F382" s="248"/>
      <c r="G382" s="137"/>
    </row>
    <row r="383" spans="1:8">
      <c r="A383" s="212"/>
      <c r="B383" s="149" t="s">
        <v>331</v>
      </c>
      <c r="C383" s="86" t="s">
        <v>90</v>
      </c>
      <c r="D383" s="85">
        <v>12</v>
      </c>
      <c r="E383" s="110">
        <v>300</v>
      </c>
      <c r="F383" s="314">
        <f t="shared" ref="F383:F392" si="52">E383*1.35</f>
        <v>405</v>
      </c>
      <c r="G383" s="138">
        <f>D383*F383</f>
        <v>4860</v>
      </c>
    </row>
    <row r="384" spans="1:8">
      <c r="A384" s="212"/>
      <c r="B384" s="149" t="s">
        <v>332</v>
      </c>
      <c r="C384" s="86" t="s">
        <v>90</v>
      </c>
      <c r="D384" s="85">
        <v>6</v>
      </c>
      <c r="E384" s="110">
        <v>400</v>
      </c>
      <c r="F384" s="314">
        <f t="shared" si="52"/>
        <v>540</v>
      </c>
      <c r="G384" s="138">
        <f t="shared" ref="G384:G392" si="53">D384*F384</f>
        <v>3240</v>
      </c>
    </row>
    <row r="385" spans="1:8">
      <c r="A385" s="212"/>
      <c r="B385" s="149" t="s">
        <v>333</v>
      </c>
      <c r="C385" s="86" t="s">
        <v>90</v>
      </c>
      <c r="D385" s="85">
        <v>6</v>
      </c>
      <c r="E385" s="110">
        <v>400</v>
      </c>
      <c r="F385" s="314">
        <f t="shared" si="52"/>
        <v>540</v>
      </c>
      <c r="G385" s="138">
        <f t="shared" si="53"/>
        <v>3240</v>
      </c>
    </row>
    <row r="386" spans="1:8">
      <c r="A386" s="212"/>
      <c r="B386" s="149" t="s">
        <v>334</v>
      </c>
      <c r="C386" s="86" t="s">
        <v>90</v>
      </c>
      <c r="D386" s="85">
        <v>6</v>
      </c>
      <c r="E386" s="110">
        <v>250</v>
      </c>
      <c r="F386" s="314">
        <f t="shared" si="52"/>
        <v>337.5</v>
      </c>
      <c r="G386" s="138">
        <f t="shared" si="53"/>
        <v>2025</v>
      </c>
    </row>
    <row r="387" spans="1:8">
      <c r="A387" s="212"/>
      <c r="B387" s="176" t="s">
        <v>335</v>
      </c>
      <c r="C387" s="86"/>
      <c r="D387" s="85"/>
      <c r="E387" s="110"/>
      <c r="F387" s="314"/>
      <c r="G387" s="138"/>
    </row>
    <row r="388" spans="1:8">
      <c r="A388" s="212"/>
      <c r="B388" s="146" t="s">
        <v>336</v>
      </c>
      <c r="C388" s="86" t="s">
        <v>90</v>
      </c>
      <c r="D388" s="85">
        <v>6</v>
      </c>
      <c r="E388" s="110">
        <v>500</v>
      </c>
      <c r="F388" s="314">
        <f t="shared" si="52"/>
        <v>675</v>
      </c>
      <c r="G388" s="138">
        <f t="shared" si="53"/>
        <v>4050</v>
      </c>
    </row>
    <row r="389" spans="1:8">
      <c r="A389" s="212"/>
      <c r="B389" s="146" t="s">
        <v>337</v>
      </c>
      <c r="C389" s="86" t="s">
        <v>90</v>
      </c>
      <c r="D389" s="85">
        <v>12</v>
      </c>
      <c r="E389" s="110">
        <v>500</v>
      </c>
      <c r="F389" s="314">
        <f t="shared" si="52"/>
        <v>675</v>
      </c>
      <c r="G389" s="138">
        <f t="shared" si="53"/>
        <v>8100</v>
      </c>
    </row>
    <row r="390" spans="1:8">
      <c r="A390" s="212"/>
      <c r="B390" s="146" t="s">
        <v>338</v>
      </c>
      <c r="C390" s="86" t="s">
        <v>90</v>
      </c>
      <c r="D390" s="85">
        <v>12</v>
      </c>
      <c r="E390" s="110">
        <v>350</v>
      </c>
      <c r="F390" s="314">
        <f t="shared" si="52"/>
        <v>472.50000000000006</v>
      </c>
      <c r="G390" s="138">
        <f t="shared" si="53"/>
        <v>5670.0000000000009</v>
      </c>
    </row>
    <row r="391" spans="1:8">
      <c r="A391" s="212"/>
      <c r="B391" s="146" t="s">
        <v>339</v>
      </c>
      <c r="C391" s="86" t="s">
        <v>90</v>
      </c>
      <c r="D391" s="85">
        <v>6</v>
      </c>
      <c r="E391" s="110">
        <v>500</v>
      </c>
      <c r="F391" s="314">
        <f t="shared" si="52"/>
        <v>675</v>
      </c>
      <c r="G391" s="138">
        <f t="shared" si="53"/>
        <v>4050</v>
      </c>
    </row>
    <row r="392" spans="1:8">
      <c r="A392" s="212"/>
      <c r="B392" s="146" t="s">
        <v>340</v>
      </c>
      <c r="C392" s="86" t="s">
        <v>90</v>
      </c>
      <c r="D392" s="85">
        <v>6</v>
      </c>
      <c r="E392" s="110">
        <v>400</v>
      </c>
      <c r="F392" s="314">
        <f t="shared" si="52"/>
        <v>540</v>
      </c>
      <c r="G392" s="138">
        <f t="shared" si="53"/>
        <v>3240</v>
      </c>
    </row>
    <row r="393" spans="1:8">
      <c r="A393" s="218"/>
      <c r="B393" s="287" t="s">
        <v>75</v>
      </c>
      <c r="C393" s="11"/>
      <c r="D393" s="20"/>
      <c r="E393" s="118"/>
      <c r="F393" s="330"/>
      <c r="G393" s="10"/>
      <c r="H393" s="241">
        <f>SUM(G380:G392)</f>
        <v>38475</v>
      </c>
    </row>
    <row r="394" spans="1:8" ht="28.5" customHeight="1" thickBot="1">
      <c r="A394" s="217" t="s">
        <v>44</v>
      </c>
      <c r="B394" s="7" t="s">
        <v>53</v>
      </c>
      <c r="C394" s="7" t="s">
        <v>55</v>
      </c>
      <c r="D394" s="3" t="s">
        <v>54</v>
      </c>
      <c r="E394" s="119" t="s">
        <v>56</v>
      </c>
      <c r="F394" s="84" t="s">
        <v>56</v>
      </c>
      <c r="G394" s="7" t="s">
        <v>57</v>
      </c>
      <c r="H394" s="7" t="s">
        <v>48</v>
      </c>
    </row>
    <row r="395" spans="1:8" ht="15" thickTop="1">
      <c r="A395" s="212"/>
      <c r="B395" s="146"/>
      <c r="C395" s="85"/>
      <c r="D395" s="85"/>
      <c r="E395" s="113"/>
      <c r="F395" s="318"/>
      <c r="G395" s="136"/>
      <c r="H395" s="5"/>
    </row>
    <row r="396" spans="1:8">
      <c r="A396" s="216" t="s">
        <v>341</v>
      </c>
      <c r="B396" s="232" t="s">
        <v>342</v>
      </c>
      <c r="C396" s="85"/>
      <c r="D396" s="85"/>
      <c r="E396" s="113"/>
      <c r="F396" s="318"/>
      <c r="G396" s="136"/>
    </row>
    <row r="397" spans="1:8">
      <c r="A397" s="200"/>
      <c r="B397" s="177" t="s">
        <v>343</v>
      </c>
      <c r="C397" s="15" t="s">
        <v>62</v>
      </c>
      <c r="D397" s="16">
        <v>1</v>
      </c>
      <c r="E397" s="114">
        <f>8*35000</f>
        <v>280000</v>
      </c>
      <c r="F397" s="314">
        <f t="shared" ref="F397" si="54">E397*1.35</f>
        <v>378000</v>
      </c>
      <c r="G397" s="138">
        <f>D397*F397</f>
        <v>378000</v>
      </c>
    </row>
    <row r="398" spans="1:8">
      <c r="A398" s="200"/>
      <c r="B398" s="177" t="s">
        <v>344</v>
      </c>
      <c r="C398" s="15"/>
      <c r="D398" s="16"/>
      <c r="E398" s="114"/>
      <c r="F398" s="327"/>
      <c r="G398" s="141"/>
    </row>
    <row r="399" spans="1:8">
      <c r="A399" s="200"/>
      <c r="B399" s="162" t="s">
        <v>345</v>
      </c>
      <c r="C399" s="15" t="s">
        <v>68</v>
      </c>
      <c r="D399" s="16"/>
      <c r="E399" s="114">
        <v>45</v>
      </c>
      <c r="F399" s="314">
        <f t="shared" ref="F399:F432" si="55">E399*1.35</f>
        <v>60.750000000000007</v>
      </c>
      <c r="G399" s="141">
        <f t="shared" ref="G399:G411" si="56">D399*E399</f>
        <v>0</v>
      </c>
    </row>
    <row r="400" spans="1:8">
      <c r="A400" s="200"/>
      <c r="B400" s="162" t="s">
        <v>346</v>
      </c>
      <c r="C400" s="15" t="s">
        <v>68</v>
      </c>
      <c r="D400" s="16"/>
      <c r="E400" s="114">
        <v>30</v>
      </c>
      <c r="F400" s="314">
        <f t="shared" si="55"/>
        <v>40.5</v>
      </c>
      <c r="G400" s="141">
        <f t="shared" si="56"/>
        <v>0</v>
      </c>
    </row>
    <row r="401" spans="1:7">
      <c r="A401" s="200"/>
      <c r="B401" s="162" t="s">
        <v>347</v>
      </c>
      <c r="C401" s="15" t="s">
        <v>68</v>
      </c>
      <c r="D401" s="16"/>
      <c r="E401" s="114">
        <v>20</v>
      </c>
      <c r="F401" s="314">
        <f t="shared" si="55"/>
        <v>27</v>
      </c>
      <c r="G401" s="141">
        <f t="shared" si="56"/>
        <v>0</v>
      </c>
    </row>
    <row r="402" spans="1:7">
      <c r="A402" s="200"/>
      <c r="B402" s="162" t="s">
        <v>348</v>
      </c>
      <c r="C402" s="15" t="s">
        <v>68</v>
      </c>
      <c r="D402" s="16"/>
      <c r="E402" s="114">
        <v>35</v>
      </c>
      <c r="F402" s="314">
        <f t="shared" si="55"/>
        <v>47.25</v>
      </c>
      <c r="G402" s="141">
        <f t="shared" si="56"/>
        <v>0</v>
      </c>
    </row>
    <row r="403" spans="1:7">
      <c r="A403" s="200"/>
      <c r="B403" s="162" t="s">
        <v>349</v>
      </c>
      <c r="C403" s="15" t="s">
        <v>68</v>
      </c>
      <c r="D403" s="16"/>
      <c r="E403" s="114">
        <v>40</v>
      </c>
      <c r="F403" s="314">
        <f t="shared" si="55"/>
        <v>54</v>
      </c>
      <c r="G403" s="141">
        <f t="shared" ref="G403:G405" si="57">D403*E403</f>
        <v>0</v>
      </c>
    </row>
    <row r="404" spans="1:7">
      <c r="A404" s="200"/>
      <c r="B404" s="162" t="s">
        <v>350</v>
      </c>
      <c r="C404" s="15" t="s">
        <v>68</v>
      </c>
      <c r="D404" s="16"/>
      <c r="E404" s="114">
        <v>30</v>
      </c>
      <c r="F404" s="314">
        <f t="shared" si="55"/>
        <v>40.5</v>
      </c>
      <c r="G404" s="141">
        <f t="shared" si="57"/>
        <v>0</v>
      </c>
    </row>
    <row r="405" spans="1:7">
      <c r="A405" s="200"/>
      <c r="B405" s="162" t="s">
        <v>351</v>
      </c>
      <c r="C405" s="15" t="s">
        <v>68</v>
      </c>
      <c r="D405" s="16"/>
      <c r="E405" s="114">
        <v>60</v>
      </c>
      <c r="F405" s="314">
        <f t="shared" si="55"/>
        <v>81</v>
      </c>
      <c r="G405" s="141">
        <f t="shared" si="57"/>
        <v>0</v>
      </c>
    </row>
    <row r="406" spans="1:7">
      <c r="A406" s="200"/>
      <c r="B406" s="177" t="s">
        <v>352</v>
      </c>
      <c r="C406" s="15"/>
      <c r="D406" s="16"/>
      <c r="E406" s="114"/>
      <c r="F406" s="314"/>
      <c r="G406" s="141"/>
    </row>
    <row r="407" spans="1:7">
      <c r="A407" s="200"/>
      <c r="B407" s="162" t="s">
        <v>353</v>
      </c>
      <c r="C407" s="15" t="s">
        <v>68</v>
      </c>
      <c r="D407" s="16"/>
      <c r="E407" s="114">
        <v>20</v>
      </c>
      <c r="F407" s="314">
        <f t="shared" si="55"/>
        <v>27</v>
      </c>
      <c r="G407" s="141">
        <f t="shared" si="56"/>
        <v>0</v>
      </c>
    </row>
    <row r="408" spans="1:7">
      <c r="A408" s="200"/>
      <c r="B408" s="162" t="s">
        <v>354</v>
      </c>
      <c r="C408" s="15" t="s">
        <v>68</v>
      </c>
      <c r="D408" s="16"/>
      <c r="E408" s="114">
        <v>30</v>
      </c>
      <c r="F408" s="314">
        <f t="shared" si="55"/>
        <v>40.5</v>
      </c>
      <c r="G408" s="141">
        <f t="shared" si="56"/>
        <v>0</v>
      </c>
    </row>
    <row r="409" spans="1:7">
      <c r="A409" s="200"/>
      <c r="B409" s="162" t="s">
        <v>355</v>
      </c>
      <c r="C409" s="15" t="s">
        <v>68</v>
      </c>
      <c r="D409" s="16"/>
      <c r="E409" s="114">
        <v>40</v>
      </c>
      <c r="F409" s="314">
        <f t="shared" si="55"/>
        <v>54</v>
      </c>
      <c r="G409" s="141">
        <f t="shared" si="56"/>
        <v>0</v>
      </c>
    </row>
    <row r="410" spans="1:7">
      <c r="A410" s="200"/>
      <c r="B410" s="162" t="s">
        <v>356</v>
      </c>
      <c r="C410" s="15" t="s">
        <v>68</v>
      </c>
      <c r="D410" s="16"/>
      <c r="E410" s="114">
        <v>45</v>
      </c>
      <c r="F410" s="314">
        <f t="shared" si="55"/>
        <v>60.750000000000007</v>
      </c>
      <c r="G410" s="141">
        <f t="shared" ref="G410" si="58">D410*E410</f>
        <v>0</v>
      </c>
    </row>
    <row r="411" spans="1:7">
      <c r="A411" s="200"/>
      <c r="B411" s="162" t="s">
        <v>357</v>
      </c>
      <c r="C411" s="15" t="s">
        <v>62</v>
      </c>
      <c r="D411" s="16"/>
      <c r="E411" s="114">
        <f>6*8000</f>
        <v>48000</v>
      </c>
      <c r="F411" s="314">
        <f t="shared" si="55"/>
        <v>64800.000000000007</v>
      </c>
      <c r="G411" s="141">
        <f t="shared" si="56"/>
        <v>0</v>
      </c>
    </row>
    <row r="412" spans="1:7">
      <c r="A412" s="200"/>
      <c r="B412" s="178" t="s">
        <v>358</v>
      </c>
      <c r="C412" s="15"/>
      <c r="D412" s="16"/>
      <c r="E412" s="114"/>
      <c r="F412" s="314"/>
      <c r="G412" s="141"/>
    </row>
    <row r="413" spans="1:7">
      <c r="A413" s="200"/>
      <c r="B413" s="174" t="s">
        <v>359</v>
      </c>
      <c r="C413" s="15"/>
      <c r="D413" s="16"/>
      <c r="E413" s="114"/>
      <c r="F413" s="314"/>
      <c r="G413" s="141"/>
    </row>
    <row r="414" spans="1:7">
      <c r="A414" s="200"/>
      <c r="B414" s="175" t="s">
        <v>360</v>
      </c>
      <c r="C414" s="15" t="s">
        <v>90</v>
      </c>
      <c r="D414" s="16"/>
      <c r="E414" s="194">
        <v>18000</v>
      </c>
      <c r="F414" s="314">
        <f t="shared" si="55"/>
        <v>24300</v>
      </c>
      <c r="G414" s="141">
        <f t="shared" ref="G414:G432" si="59">D414*E414</f>
        <v>0</v>
      </c>
    </row>
    <row r="415" spans="1:7">
      <c r="A415" s="200"/>
      <c r="B415" s="174" t="s">
        <v>361</v>
      </c>
      <c r="C415" s="15"/>
      <c r="D415" s="16"/>
      <c r="E415" s="194"/>
      <c r="F415" s="331"/>
      <c r="G415" s="141">
        <f t="shared" si="59"/>
        <v>0</v>
      </c>
    </row>
    <row r="416" spans="1:7">
      <c r="A416" s="200"/>
      <c r="B416" s="175" t="s">
        <v>362</v>
      </c>
      <c r="C416" s="15" t="s">
        <v>90</v>
      </c>
      <c r="D416" s="16"/>
      <c r="E416" s="194">
        <v>3800</v>
      </c>
      <c r="F416" s="314">
        <f t="shared" si="55"/>
        <v>5130</v>
      </c>
      <c r="G416" s="141">
        <f t="shared" si="59"/>
        <v>0</v>
      </c>
    </row>
    <row r="417" spans="1:7">
      <c r="A417" s="200"/>
      <c r="B417" s="175" t="s">
        <v>363</v>
      </c>
      <c r="C417" s="15" t="s">
        <v>90</v>
      </c>
      <c r="D417" s="16"/>
      <c r="E417" s="194">
        <v>3800</v>
      </c>
      <c r="F417" s="314">
        <f t="shared" si="55"/>
        <v>5130</v>
      </c>
      <c r="G417" s="141">
        <f t="shared" si="59"/>
        <v>0</v>
      </c>
    </row>
    <row r="418" spans="1:7">
      <c r="A418" s="200"/>
      <c r="B418" s="175" t="s">
        <v>364</v>
      </c>
      <c r="C418" s="15" t="s">
        <v>90</v>
      </c>
      <c r="D418" s="16"/>
      <c r="E418" s="194">
        <v>3800</v>
      </c>
      <c r="F418" s="314">
        <f t="shared" si="55"/>
        <v>5130</v>
      </c>
      <c r="G418" s="141">
        <f t="shared" si="59"/>
        <v>0</v>
      </c>
    </row>
    <row r="419" spans="1:7">
      <c r="A419" s="200"/>
      <c r="B419" s="175" t="s">
        <v>365</v>
      </c>
      <c r="C419" s="15" t="s">
        <v>90</v>
      </c>
      <c r="D419" s="16"/>
      <c r="E419" s="194">
        <v>3800</v>
      </c>
      <c r="F419" s="314">
        <f t="shared" si="55"/>
        <v>5130</v>
      </c>
      <c r="G419" s="141">
        <f t="shared" si="59"/>
        <v>0</v>
      </c>
    </row>
    <row r="420" spans="1:7">
      <c r="A420" s="200"/>
      <c r="B420" s="175" t="s">
        <v>366</v>
      </c>
      <c r="C420" s="15" t="s">
        <v>90</v>
      </c>
      <c r="D420" s="16"/>
      <c r="E420" s="194">
        <v>3800</v>
      </c>
      <c r="F420" s="314">
        <f t="shared" si="55"/>
        <v>5130</v>
      </c>
      <c r="G420" s="141">
        <f t="shared" si="59"/>
        <v>0</v>
      </c>
    </row>
    <row r="421" spans="1:7">
      <c r="A421" s="200"/>
      <c r="B421" s="175" t="s">
        <v>367</v>
      </c>
      <c r="C421" s="15" t="s">
        <v>90</v>
      </c>
      <c r="D421" s="16"/>
      <c r="E421" s="194">
        <v>3800</v>
      </c>
      <c r="F421" s="314">
        <f t="shared" si="55"/>
        <v>5130</v>
      </c>
      <c r="G421" s="141">
        <f t="shared" si="59"/>
        <v>0</v>
      </c>
    </row>
    <row r="422" spans="1:7">
      <c r="A422" s="200"/>
      <c r="B422" s="180" t="s">
        <v>368</v>
      </c>
      <c r="C422" s="15"/>
      <c r="D422" s="16"/>
      <c r="E422" s="194"/>
      <c r="F422" s="314"/>
      <c r="G422" s="141"/>
    </row>
    <row r="423" spans="1:7">
      <c r="A423" s="200"/>
      <c r="B423" s="175" t="s">
        <v>369</v>
      </c>
      <c r="C423" s="15" t="s">
        <v>90</v>
      </c>
      <c r="D423" s="16"/>
      <c r="E423" s="194">
        <v>6500</v>
      </c>
      <c r="F423" s="314">
        <f t="shared" si="55"/>
        <v>8775</v>
      </c>
      <c r="G423" s="141">
        <f t="shared" si="59"/>
        <v>0</v>
      </c>
    </row>
    <row r="424" spans="1:7">
      <c r="A424" s="200"/>
      <c r="B424" s="175" t="s">
        <v>370</v>
      </c>
      <c r="C424" s="15" t="s">
        <v>90</v>
      </c>
      <c r="D424" s="16"/>
      <c r="E424" s="194">
        <v>6500</v>
      </c>
      <c r="F424" s="314">
        <f t="shared" si="55"/>
        <v>8775</v>
      </c>
      <c r="G424" s="141">
        <f t="shared" si="59"/>
        <v>0</v>
      </c>
    </row>
    <row r="425" spans="1:7">
      <c r="A425" s="200"/>
      <c r="B425" s="175" t="s">
        <v>371</v>
      </c>
      <c r="C425" s="15" t="s">
        <v>90</v>
      </c>
      <c r="D425" s="16"/>
      <c r="E425" s="194">
        <v>4800</v>
      </c>
      <c r="F425" s="314">
        <f t="shared" si="55"/>
        <v>6480</v>
      </c>
      <c r="G425" s="141">
        <f t="shared" si="59"/>
        <v>0</v>
      </c>
    </row>
    <row r="426" spans="1:7">
      <c r="A426" s="200"/>
      <c r="B426" s="175" t="s">
        <v>372</v>
      </c>
      <c r="C426" s="15" t="s">
        <v>90</v>
      </c>
      <c r="D426" s="16"/>
      <c r="E426" s="194">
        <v>5400</v>
      </c>
      <c r="F426" s="314">
        <f t="shared" si="55"/>
        <v>7290.0000000000009</v>
      </c>
      <c r="G426" s="141">
        <f t="shared" si="59"/>
        <v>0</v>
      </c>
    </row>
    <row r="427" spans="1:7">
      <c r="A427" s="200"/>
      <c r="B427" s="180" t="s">
        <v>373</v>
      </c>
      <c r="C427" s="15"/>
      <c r="D427" s="16"/>
      <c r="E427" s="114"/>
      <c r="F427" s="314"/>
      <c r="G427" s="141"/>
    </row>
    <row r="428" spans="1:7" ht="22.5" customHeight="1">
      <c r="A428" s="200"/>
      <c r="B428" s="175" t="s">
        <v>374</v>
      </c>
      <c r="C428" s="15" t="s">
        <v>90</v>
      </c>
      <c r="D428" s="16"/>
      <c r="E428" s="114">
        <v>2800</v>
      </c>
      <c r="F428" s="314">
        <f t="shared" si="55"/>
        <v>3780.0000000000005</v>
      </c>
      <c r="G428" s="141">
        <f t="shared" si="59"/>
        <v>0</v>
      </c>
    </row>
    <row r="429" spans="1:7">
      <c r="A429" s="200"/>
      <c r="B429" s="175" t="s">
        <v>375</v>
      </c>
      <c r="C429" s="15" t="s">
        <v>90</v>
      </c>
      <c r="D429" s="16"/>
      <c r="E429" s="114">
        <v>1800</v>
      </c>
      <c r="F429" s="314">
        <f t="shared" si="55"/>
        <v>2430</v>
      </c>
      <c r="G429" s="141">
        <f t="shared" ref="G429" si="60">D429*E429</f>
        <v>0</v>
      </c>
    </row>
    <row r="430" spans="1:7" ht="21" customHeight="1">
      <c r="A430" s="200"/>
      <c r="B430" s="175" t="s">
        <v>376</v>
      </c>
      <c r="C430" s="15" t="s">
        <v>90</v>
      </c>
      <c r="D430" s="16"/>
      <c r="E430" s="114">
        <v>2500</v>
      </c>
      <c r="F430" s="314">
        <f t="shared" si="55"/>
        <v>3375</v>
      </c>
      <c r="G430" s="141">
        <f t="shared" si="59"/>
        <v>0</v>
      </c>
    </row>
    <row r="431" spans="1:7">
      <c r="A431" s="200"/>
      <c r="B431" s="175" t="s">
        <v>377</v>
      </c>
      <c r="C431" s="15" t="s">
        <v>90</v>
      </c>
      <c r="D431" s="16"/>
      <c r="E431" s="114">
        <v>2400</v>
      </c>
      <c r="F431" s="314">
        <f t="shared" si="55"/>
        <v>3240</v>
      </c>
      <c r="G431" s="141">
        <f t="shared" si="59"/>
        <v>0</v>
      </c>
    </row>
    <row r="432" spans="1:7" ht="28.2">
      <c r="A432" s="200"/>
      <c r="B432" s="175" t="s">
        <v>378</v>
      </c>
      <c r="C432" s="15" t="s">
        <v>90</v>
      </c>
      <c r="D432" s="16"/>
      <c r="E432" s="114">
        <v>3200</v>
      </c>
      <c r="F432" s="314">
        <f t="shared" si="55"/>
        <v>4320</v>
      </c>
      <c r="G432" s="141">
        <f t="shared" si="59"/>
        <v>0</v>
      </c>
    </row>
    <row r="433" spans="1:8">
      <c r="A433" s="200"/>
      <c r="B433" s="180" t="s">
        <v>379</v>
      </c>
      <c r="C433" s="15"/>
      <c r="D433" s="16"/>
      <c r="E433" s="114"/>
      <c r="F433" s="327"/>
      <c r="G433" s="141"/>
    </row>
    <row r="434" spans="1:8">
      <c r="A434" s="200"/>
      <c r="B434" s="179" t="s">
        <v>380</v>
      </c>
      <c r="C434" s="15" t="s">
        <v>90</v>
      </c>
      <c r="D434" s="273" t="s">
        <v>299</v>
      </c>
      <c r="E434" s="114"/>
      <c r="F434" s="327"/>
      <c r="G434" s="141"/>
    </row>
    <row r="435" spans="1:8">
      <c r="A435" s="120"/>
      <c r="B435" s="179" t="s">
        <v>381</v>
      </c>
      <c r="C435" s="15" t="s">
        <v>90</v>
      </c>
      <c r="D435" s="273" t="s">
        <v>299</v>
      </c>
      <c r="E435" s="114"/>
      <c r="F435" s="327"/>
      <c r="G435" s="141"/>
    </row>
    <row r="436" spans="1:8">
      <c r="A436" s="120"/>
      <c r="B436" s="179" t="s">
        <v>382</v>
      </c>
      <c r="C436" s="15" t="s">
        <v>90</v>
      </c>
      <c r="D436" s="273" t="s">
        <v>299</v>
      </c>
      <c r="E436" s="114"/>
      <c r="F436" s="327"/>
      <c r="G436" s="141"/>
    </row>
    <row r="437" spans="1:8">
      <c r="A437" s="120"/>
      <c r="B437" s="179" t="s">
        <v>383</v>
      </c>
      <c r="C437" s="15" t="s">
        <v>90</v>
      </c>
      <c r="D437" s="273" t="s">
        <v>299</v>
      </c>
      <c r="E437" s="17"/>
      <c r="F437" s="324"/>
      <c r="G437" s="141"/>
    </row>
    <row r="438" spans="1:8">
      <c r="A438" s="212"/>
      <c r="B438" s="149" t="s">
        <v>384</v>
      </c>
      <c r="C438" s="15" t="s">
        <v>90</v>
      </c>
      <c r="D438" s="273" t="s">
        <v>299</v>
      </c>
      <c r="E438" s="87"/>
      <c r="F438" s="316"/>
      <c r="G438" s="137"/>
    </row>
    <row r="439" spans="1:8">
      <c r="A439" s="212"/>
      <c r="B439" s="149" t="s">
        <v>385</v>
      </c>
      <c r="C439" s="15" t="s">
        <v>90</v>
      </c>
      <c r="D439" s="273" t="s">
        <v>299</v>
      </c>
      <c r="E439" s="87"/>
      <c r="F439" s="316"/>
      <c r="G439" s="137"/>
    </row>
    <row r="440" spans="1:8">
      <c r="A440" s="212"/>
      <c r="B440" s="149" t="s">
        <v>386</v>
      </c>
      <c r="C440" s="15" t="s">
        <v>62</v>
      </c>
      <c r="D440" s="273" t="s">
        <v>299</v>
      </c>
      <c r="E440" s="87"/>
      <c r="F440" s="316"/>
      <c r="G440" s="137"/>
    </row>
    <row r="441" spans="1:8">
      <c r="A441" s="212"/>
      <c r="B441" s="149" t="s">
        <v>387</v>
      </c>
      <c r="C441" s="15" t="s">
        <v>90</v>
      </c>
      <c r="D441" s="273" t="s">
        <v>299</v>
      </c>
      <c r="E441" s="87"/>
      <c r="F441" s="316"/>
      <c r="G441" s="137"/>
    </row>
    <row r="442" spans="1:8">
      <c r="A442" s="212"/>
      <c r="B442" s="149" t="s">
        <v>388</v>
      </c>
      <c r="C442" s="15" t="s">
        <v>90</v>
      </c>
      <c r="D442" s="273" t="s">
        <v>299</v>
      </c>
      <c r="E442" s="87"/>
      <c r="F442" s="316"/>
      <c r="G442" s="137"/>
    </row>
    <row r="443" spans="1:8">
      <c r="A443" s="212"/>
      <c r="B443" s="149" t="s">
        <v>389</v>
      </c>
      <c r="C443" s="15" t="s">
        <v>90</v>
      </c>
      <c r="D443" s="273" t="s">
        <v>299</v>
      </c>
      <c r="E443" s="87"/>
      <c r="F443" s="316"/>
      <c r="G443" s="137"/>
    </row>
    <row r="444" spans="1:8">
      <c r="A444" s="212"/>
      <c r="B444" s="149" t="s">
        <v>390</v>
      </c>
      <c r="C444" s="15" t="s">
        <v>62</v>
      </c>
      <c r="D444" s="273" t="s">
        <v>299</v>
      </c>
      <c r="E444" s="87"/>
      <c r="F444" s="316"/>
      <c r="G444" s="137"/>
    </row>
    <row r="445" spans="1:8">
      <c r="A445" s="212"/>
      <c r="B445" s="149" t="s">
        <v>391</v>
      </c>
      <c r="C445" s="15" t="s">
        <v>62</v>
      </c>
      <c r="D445" s="273" t="s">
        <v>299</v>
      </c>
      <c r="E445" s="87"/>
      <c r="F445" s="316"/>
      <c r="G445" s="137"/>
    </row>
    <row r="446" spans="1:8">
      <c r="A446" s="212"/>
      <c r="B446" s="163"/>
      <c r="C446" s="86"/>
      <c r="D446" s="85"/>
      <c r="E446" s="87"/>
      <c r="F446" s="316"/>
      <c r="G446" s="137"/>
    </row>
    <row r="447" spans="1:8">
      <c r="A447" s="212"/>
      <c r="B447" s="287" t="s">
        <v>75</v>
      </c>
      <c r="C447" s="86"/>
      <c r="D447" s="85"/>
      <c r="E447" s="87"/>
      <c r="F447" s="316"/>
      <c r="G447" s="137"/>
      <c r="H447" s="241">
        <f>SUM(G397:G446)</f>
        <v>378000</v>
      </c>
    </row>
    <row r="448" spans="1:8" ht="28.5" customHeight="1" thickBot="1">
      <c r="A448" s="213" t="s">
        <v>44</v>
      </c>
      <c r="B448" s="84" t="s">
        <v>53</v>
      </c>
      <c r="C448" s="84" t="s">
        <v>55</v>
      </c>
      <c r="D448" s="4" t="s">
        <v>54</v>
      </c>
      <c r="E448" s="84" t="s">
        <v>56</v>
      </c>
      <c r="F448" s="84" t="s">
        <v>56</v>
      </c>
      <c r="G448" s="84" t="s">
        <v>57</v>
      </c>
      <c r="H448" s="7" t="s">
        <v>48</v>
      </c>
    </row>
    <row r="449" spans="1:8" ht="15" thickTop="1">
      <c r="A449" s="212"/>
      <c r="B449" s="146"/>
      <c r="C449" s="85"/>
      <c r="D449" s="85"/>
      <c r="E449" s="85"/>
      <c r="F449" s="313"/>
      <c r="G449" s="136"/>
      <c r="H449" s="5"/>
    </row>
    <row r="450" spans="1:8">
      <c r="A450" s="212" t="s">
        <v>392</v>
      </c>
      <c r="B450" s="232" t="s">
        <v>393</v>
      </c>
      <c r="C450" s="85"/>
      <c r="D450" s="85"/>
      <c r="E450" s="85"/>
      <c r="F450" s="313"/>
      <c r="G450" s="136"/>
    </row>
    <row r="451" spans="1:8">
      <c r="A451" s="212"/>
      <c r="B451" s="155"/>
      <c r="C451" s="86"/>
      <c r="D451" s="85"/>
      <c r="E451" s="87"/>
      <c r="F451" s="316"/>
      <c r="G451" s="137"/>
    </row>
    <row r="452" spans="1:8" ht="28.8">
      <c r="A452" s="120"/>
      <c r="B452" s="162" t="s">
        <v>394</v>
      </c>
      <c r="C452" s="15" t="s">
        <v>62</v>
      </c>
      <c r="D452" s="16">
        <v>1</v>
      </c>
      <c r="E452" s="114">
        <f>7*18000</f>
        <v>126000</v>
      </c>
      <c r="F452" s="314">
        <f t="shared" ref="F452:F453" si="61">E452*1.35</f>
        <v>170100</v>
      </c>
      <c r="G452" s="138">
        <f>D452*F452</f>
        <v>170100</v>
      </c>
    </row>
    <row r="453" spans="1:8">
      <c r="A453" s="120"/>
      <c r="B453" s="148" t="s">
        <v>395</v>
      </c>
      <c r="C453" s="236" t="s">
        <v>62</v>
      </c>
      <c r="D453" s="16">
        <v>1</v>
      </c>
      <c r="E453" s="237">
        <f>7*3500</f>
        <v>24500</v>
      </c>
      <c r="F453" s="314">
        <f t="shared" si="61"/>
        <v>33075</v>
      </c>
      <c r="G453" s="138">
        <f>D453*F453</f>
        <v>33075</v>
      </c>
    </row>
    <row r="454" spans="1:8">
      <c r="A454" s="120"/>
      <c r="B454" s="98" t="s">
        <v>396</v>
      </c>
      <c r="C454" s="15"/>
      <c r="D454" s="16"/>
      <c r="E454" s="114"/>
      <c r="F454" s="314"/>
      <c r="G454" s="141"/>
    </row>
    <row r="455" spans="1:8">
      <c r="A455" s="212"/>
      <c r="B455" s="149" t="s">
        <v>397</v>
      </c>
      <c r="C455" s="86" t="s">
        <v>299</v>
      </c>
      <c r="D455" s="85"/>
      <c r="E455" s="116"/>
      <c r="F455" s="328"/>
      <c r="G455" s="137"/>
    </row>
    <row r="456" spans="1:8">
      <c r="A456" s="212"/>
      <c r="B456" s="149" t="s">
        <v>398</v>
      </c>
      <c r="C456" s="86" t="s">
        <v>299</v>
      </c>
      <c r="D456" s="85"/>
      <c r="E456" s="116"/>
      <c r="F456" s="328"/>
      <c r="G456" s="137"/>
    </row>
    <row r="457" spans="1:8">
      <c r="A457" s="212"/>
      <c r="B457" s="149" t="s">
        <v>399</v>
      </c>
      <c r="C457" s="86" t="s">
        <v>299</v>
      </c>
      <c r="D457" s="85"/>
      <c r="E457" s="97"/>
      <c r="F457" s="329"/>
      <c r="G457" s="137"/>
    </row>
    <row r="458" spans="1:8">
      <c r="A458" s="212"/>
      <c r="B458" s="149" t="s">
        <v>400</v>
      </c>
      <c r="C458" s="86" t="s">
        <v>299</v>
      </c>
      <c r="D458" s="85"/>
      <c r="E458" s="87"/>
      <c r="F458" s="316"/>
      <c r="G458" s="137"/>
    </row>
    <row r="459" spans="1:8">
      <c r="A459" s="212"/>
      <c r="B459" s="149" t="s">
        <v>401</v>
      </c>
      <c r="C459" s="86" t="s">
        <v>299</v>
      </c>
      <c r="D459" s="85"/>
      <c r="E459" s="87"/>
      <c r="F459" s="316"/>
      <c r="G459" s="137"/>
    </row>
    <row r="460" spans="1:8">
      <c r="A460" s="212"/>
      <c r="B460" s="149" t="s">
        <v>402</v>
      </c>
      <c r="C460" s="86" t="s">
        <v>299</v>
      </c>
      <c r="D460" s="85"/>
      <c r="E460" s="87"/>
      <c r="F460" s="316"/>
      <c r="G460" s="137"/>
    </row>
    <row r="461" spans="1:8">
      <c r="A461" s="212"/>
      <c r="B461" s="149" t="s">
        <v>403</v>
      </c>
      <c r="C461" s="86" t="s">
        <v>299</v>
      </c>
      <c r="D461" s="85"/>
      <c r="E461" s="87"/>
      <c r="F461" s="316"/>
      <c r="G461" s="137"/>
    </row>
    <row r="462" spans="1:8">
      <c r="A462" s="212"/>
      <c r="B462" s="149" t="s">
        <v>404</v>
      </c>
      <c r="C462" s="86" t="s">
        <v>299</v>
      </c>
      <c r="D462" s="85"/>
      <c r="E462" s="87"/>
      <c r="F462" s="316"/>
      <c r="G462" s="137"/>
    </row>
    <row r="463" spans="1:8">
      <c r="A463" s="212"/>
      <c r="B463" s="149" t="s">
        <v>405</v>
      </c>
      <c r="C463" s="86" t="s">
        <v>299</v>
      </c>
      <c r="D463" s="85"/>
      <c r="E463" s="87"/>
      <c r="F463" s="316"/>
      <c r="G463" s="137"/>
    </row>
    <row r="464" spans="1:8">
      <c r="A464" s="212"/>
      <c r="B464" s="149" t="s">
        <v>406</v>
      </c>
      <c r="C464" s="86" t="s">
        <v>299</v>
      </c>
      <c r="D464" s="85"/>
      <c r="E464" s="87"/>
      <c r="F464" s="316"/>
      <c r="G464" s="137"/>
    </row>
    <row r="465" spans="1:8">
      <c r="A465" s="212"/>
      <c r="B465" s="149" t="s">
        <v>407</v>
      </c>
      <c r="C465" s="86" t="s">
        <v>299</v>
      </c>
      <c r="D465" s="85"/>
      <c r="E465" s="87"/>
      <c r="F465" s="316"/>
      <c r="G465" s="137"/>
    </row>
    <row r="466" spans="1:8">
      <c r="A466" s="212"/>
      <c r="B466" s="149" t="s">
        <v>408</v>
      </c>
      <c r="C466" s="86" t="s">
        <v>299</v>
      </c>
      <c r="D466" s="85"/>
      <c r="E466" s="87"/>
      <c r="F466" s="316"/>
      <c r="G466" s="137"/>
    </row>
    <row r="467" spans="1:8">
      <c r="A467" s="212"/>
      <c r="B467" s="149" t="s">
        <v>409</v>
      </c>
      <c r="C467" s="86" t="s">
        <v>299</v>
      </c>
      <c r="D467" s="85"/>
      <c r="E467" s="87"/>
      <c r="F467" s="316"/>
      <c r="G467" s="137"/>
    </row>
    <row r="468" spans="1:8">
      <c r="A468" s="212"/>
      <c r="B468" s="149" t="s">
        <v>410</v>
      </c>
      <c r="C468" s="86" t="s">
        <v>299</v>
      </c>
      <c r="D468" s="85"/>
      <c r="E468" s="87"/>
      <c r="F468" s="316"/>
      <c r="G468" s="137"/>
    </row>
    <row r="469" spans="1:8">
      <c r="A469" s="212"/>
      <c r="B469" s="149" t="s">
        <v>411</v>
      </c>
      <c r="C469" s="86" t="s">
        <v>299</v>
      </c>
      <c r="D469" s="85"/>
      <c r="E469" s="87"/>
      <c r="F469" s="316"/>
      <c r="G469" s="137"/>
    </row>
    <row r="470" spans="1:8">
      <c r="A470" s="212"/>
      <c r="B470" s="149" t="s">
        <v>412</v>
      </c>
      <c r="C470" s="86" t="s">
        <v>299</v>
      </c>
      <c r="D470" s="85"/>
      <c r="E470" s="87"/>
      <c r="F470" s="316"/>
      <c r="G470" s="137"/>
    </row>
    <row r="471" spans="1:8">
      <c r="A471" s="212"/>
      <c r="B471" s="149" t="s">
        <v>413</v>
      </c>
      <c r="C471" s="86" t="s">
        <v>299</v>
      </c>
      <c r="D471" s="85"/>
      <c r="E471" s="87"/>
      <c r="F471" s="316"/>
      <c r="G471" s="137"/>
    </row>
    <row r="472" spans="1:8">
      <c r="A472" s="212"/>
      <c r="B472" s="149" t="s">
        <v>414</v>
      </c>
      <c r="C472" s="86" t="s">
        <v>299</v>
      </c>
      <c r="D472" s="85"/>
      <c r="E472" s="97"/>
      <c r="F472" s="329"/>
      <c r="G472" s="137"/>
    </row>
    <row r="473" spans="1:8">
      <c r="A473" s="212"/>
      <c r="B473" s="155" t="s">
        <v>415</v>
      </c>
      <c r="C473" s="86"/>
      <c r="D473" s="85"/>
      <c r="E473" s="87"/>
      <c r="F473" s="316"/>
      <c r="G473" s="137"/>
    </row>
    <row r="474" spans="1:8">
      <c r="A474" s="212"/>
      <c r="B474" s="148" t="s">
        <v>416</v>
      </c>
      <c r="C474" s="86" t="s">
        <v>62</v>
      </c>
      <c r="D474" s="85">
        <v>1</v>
      </c>
      <c r="E474" s="87">
        <f>850*7</f>
        <v>5950</v>
      </c>
      <c r="F474" s="314">
        <f t="shared" ref="F474:F476" si="62">E474*1.35</f>
        <v>8032.5000000000009</v>
      </c>
      <c r="G474" s="138">
        <f>D474*F474</f>
        <v>8032.5000000000009</v>
      </c>
    </row>
    <row r="475" spans="1:8">
      <c r="A475" s="212"/>
      <c r="B475" s="148" t="s">
        <v>417</v>
      </c>
      <c r="C475" s="86" t="s">
        <v>62</v>
      </c>
      <c r="D475" s="85">
        <v>1</v>
      </c>
      <c r="E475" s="87">
        <f>1050*7</f>
        <v>7350</v>
      </c>
      <c r="F475" s="314">
        <f t="shared" si="62"/>
        <v>9922.5</v>
      </c>
      <c r="G475" s="138">
        <f>D475*F475</f>
        <v>9922.5</v>
      </c>
    </row>
    <row r="476" spans="1:8">
      <c r="A476" s="212"/>
      <c r="B476" s="148" t="s">
        <v>418</v>
      </c>
      <c r="C476" s="86" t="s">
        <v>62</v>
      </c>
      <c r="D476" s="85">
        <v>1</v>
      </c>
      <c r="E476" s="87">
        <f>950*7</f>
        <v>6650</v>
      </c>
      <c r="F476" s="314">
        <f t="shared" si="62"/>
        <v>8977.5</v>
      </c>
      <c r="G476" s="138">
        <f>D476*F476</f>
        <v>8977.5</v>
      </c>
    </row>
    <row r="477" spans="1:8">
      <c r="A477" s="212"/>
      <c r="B477" s="148"/>
      <c r="C477" s="86"/>
      <c r="D477" s="85"/>
      <c r="E477" s="87"/>
      <c r="F477" s="316"/>
      <c r="G477" s="137"/>
    </row>
    <row r="478" spans="1:8">
      <c r="A478" s="212"/>
      <c r="B478" s="287" t="s">
        <v>75</v>
      </c>
      <c r="C478" s="86"/>
      <c r="D478" s="85"/>
      <c r="E478" s="87"/>
      <c r="F478" s="316"/>
      <c r="G478" s="137"/>
      <c r="H478" s="80">
        <f>SUM(G451:G477)</f>
        <v>230107.5</v>
      </c>
    </row>
    <row r="479" spans="1:8" ht="28.5" customHeight="1" thickBot="1">
      <c r="A479" s="217" t="s">
        <v>44</v>
      </c>
      <c r="B479" s="7" t="s">
        <v>53</v>
      </c>
      <c r="C479" s="7" t="s">
        <v>55</v>
      </c>
      <c r="D479" s="3" t="s">
        <v>54</v>
      </c>
      <c r="E479" s="119" t="s">
        <v>56</v>
      </c>
      <c r="F479" s="119" t="s">
        <v>56</v>
      </c>
      <c r="G479" s="7" t="s">
        <v>57</v>
      </c>
      <c r="H479" s="7" t="s">
        <v>48</v>
      </c>
    </row>
    <row r="480" spans="1:8" ht="15" thickTop="1">
      <c r="A480" s="212"/>
      <c r="B480" s="146"/>
      <c r="C480" s="85"/>
      <c r="D480" s="85"/>
      <c r="E480" s="113"/>
      <c r="F480" s="318"/>
      <c r="G480" s="136"/>
      <c r="H480" s="5"/>
    </row>
    <row r="481" spans="1:8">
      <c r="A481" s="212" t="s">
        <v>419</v>
      </c>
      <c r="B481" s="231" t="s">
        <v>420</v>
      </c>
      <c r="C481" s="85"/>
      <c r="D481" s="85"/>
      <c r="E481" s="113"/>
      <c r="F481" s="318"/>
      <c r="G481" s="136"/>
    </row>
    <row r="482" spans="1:8">
      <c r="A482" s="212"/>
      <c r="B482" s="155"/>
      <c r="C482" s="86"/>
      <c r="D482" s="85"/>
      <c r="E482" s="110"/>
      <c r="F482" s="248"/>
      <c r="G482" s="137"/>
    </row>
    <row r="483" spans="1:8">
      <c r="A483" s="212"/>
      <c r="B483" s="162" t="s">
        <v>421</v>
      </c>
      <c r="C483" s="15" t="s">
        <v>62</v>
      </c>
      <c r="D483" s="16">
        <v>1</v>
      </c>
      <c r="E483" s="114">
        <v>48000</v>
      </c>
      <c r="F483" s="314">
        <f t="shared" ref="F483" si="63">E483*1.35</f>
        <v>64800.000000000007</v>
      </c>
      <c r="G483" s="138">
        <f>D483*F483</f>
        <v>64800.000000000007</v>
      </c>
    </row>
    <row r="484" spans="1:8">
      <c r="A484" s="212"/>
      <c r="B484" s="149" t="s">
        <v>422</v>
      </c>
      <c r="C484" s="15" t="s">
        <v>62</v>
      </c>
      <c r="D484" s="85" t="s">
        <v>299</v>
      </c>
      <c r="E484" s="87"/>
      <c r="F484" s="316"/>
      <c r="G484" s="137"/>
    </row>
    <row r="485" spans="1:8">
      <c r="A485" s="212"/>
      <c r="B485" s="149" t="s">
        <v>423</v>
      </c>
      <c r="C485" s="15" t="s">
        <v>62</v>
      </c>
      <c r="D485" s="85" t="s">
        <v>299</v>
      </c>
      <c r="E485" s="87"/>
      <c r="F485" s="316"/>
      <c r="G485" s="137"/>
    </row>
    <row r="486" spans="1:8">
      <c r="A486" s="212"/>
      <c r="B486" s="149" t="s">
        <v>424</v>
      </c>
      <c r="C486" s="15" t="s">
        <v>62</v>
      </c>
      <c r="D486" s="85" t="s">
        <v>299</v>
      </c>
      <c r="E486" s="87"/>
      <c r="F486" s="316"/>
      <c r="G486" s="137"/>
    </row>
    <row r="487" spans="1:8">
      <c r="A487" s="212"/>
      <c r="B487" s="149" t="s">
        <v>425</v>
      </c>
      <c r="C487" s="15" t="s">
        <v>62</v>
      </c>
      <c r="D487" s="85" t="s">
        <v>299</v>
      </c>
      <c r="E487" s="87"/>
      <c r="F487" s="316"/>
      <c r="G487" s="137"/>
    </row>
    <row r="488" spans="1:8">
      <c r="A488" s="212"/>
      <c r="B488" s="149" t="s">
        <v>426</v>
      </c>
      <c r="C488" s="15" t="s">
        <v>62</v>
      </c>
      <c r="D488" s="85" t="s">
        <v>299</v>
      </c>
      <c r="E488" s="87"/>
      <c r="F488" s="316"/>
      <c r="G488" s="137"/>
    </row>
    <row r="489" spans="1:8">
      <c r="A489" s="212"/>
      <c r="B489" s="149" t="s">
        <v>427</v>
      </c>
      <c r="C489" s="15" t="s">
        <v>62</v>
      </c>
      <c r="D489" s="85" t="s">
        <v>299</v>
      </c>
      <c r="E489" s="87"/>
      <c r="F489" s="316"/>
      <c r="G489" s="137"/>
    </row>
    <row r="490" spans="1:8">
      <c r="A490" s="212"/>
      <c r="B490" s="149" t="s">
        <v>428</v>
      </c>
      <c r="C490" s="15" t="s">
        <v>62</v>
      </c>
      <c r="D490" s="85" t="s">
        <v>299</v>
      </c>
      <c r="E490" s="87"/>
      <c r="F490" s="316"/>
      <c r="G490" s="137"/>
    </row>
    <row r="491" spans="1:8">
      <c r="A491" s="212"/>
      <c r="B491" s="149" t="s">
        <v>429</v>
      </c>
      <c r="C491" s="15" t="s">
        <v>62</v>
      </c>
      <c r="D491" s="85" t="s">
        <v>299</v>
      </c>
      <c r="E491" s="87"/>
      <c r="F491" s="316"/>
      <c r="G491" s="137"/>
    </row>
    <row r="492" spans="1:8">
      <c r="A492" s="212"/>
      <c r="B492" s="149" t="s">
        <v>430</v>
      </c>
      <c r="C492" s="15" t="s">
        <v>62</v>
      </c>
      <c r="D492" s="85" t="s">
        <v>299</v>
      </c>
      <c r="E492" s="87"/>
      <c r="F492" s="316"/>
      <c r="G492" s="137"/>
    </row>
    <row r="493" spans="1:8">
      <c r="A493" s="212"/>
      <c r="B493" s="148"/>
      <c r="C493" s="86"/>
      <c r="D493" s="85"/>
      <c r="E493" s="87"/>
      <c r="F493" s="316"/>
      <c r="G493" s="137"/>
    </row>
    <row r="494" spans="1:8" ht="15" thickBot="1">
      <c r="A494" s="212"/>
      <c r="B494" s="287" t="s">
        <v>75</v>
      </c>
      <c r="C494" s="85"/>
      <c r="D494" s="85"/>
      <c r="E494" s="85"/>
      <c r="F494" s="313"/>
      <c r="G494" s="136"/>
      <c r="H494" s="130">
        <f>SUM(G481:G493)</f>
        <v>64800.000000000007</v>
      </c>
    </row>
    <row r="495" spans="1:8" ht="15" thickBot="1">
      <c r="A495" s="212"/>
      <c r="B495" s="146"/>
      <c r="C495" s="85"/>
      <c r="D495" s="85"/>
      <c r="E495" s="85"/>
      <c r="F495" s="313"/>
      <c r="G495" s="136"/>
    </row>
    <row r="496" spans="1:8">
      <c r="A496" s="219"/>
      <c r="B496" s="19" t="s">
        <v>47</v>
      </c>
      <c r="C496" s="19"/>
      <c r="D496" s="19"/>
      <c r="E496" s="19"/>
      <c r="F496" s="19"/>
      <c r="G496" s="182"/>
      <c r="H496" s="304">
        <f>SUM(G13:G494)</f>
        <v>5207262.6109259259</v>
      </c>
    </row>
    <row r="497" spans="1:9">
      <c r="A497" s="120"/>
      <c r="B497" t="s">
        <v>431</v>
      </c>
      <c r="G497" s="14"/>
      <c r="H497" s="305">
        <f>(H496)*0.07</f>
        <v>364508.38276481483</v>
      </c>
    </row>
    <row r="498" spans="1:9" s="342" customFormat="1">
      <c r="A498" s="350"/>
      <c r="B498" s="342" t="s">
        <v>432</v>
      </c>
      <c r="G498" s="351"/>
      <c r="H498" s="352">
        <f>H496*0.04</f>
        <v>208290.50443703705</v>
      </c>
      <c r="I498" s="356"/>
    </row>
    <row r="499" spans="1:9" ht="15" thickBot="1">
      <c r="A499" s="120"/>
      <c r="B499" t="s">
        <v>433</v>
      </c>
      <c r="G499" s="14"/>
      <c r="H499" s="305">
        <f>H496*0.1</f>
        <v>520726.26109259261</v>
      </c>
    </row>
    <row r="500" spans="1:9">
      <c r="A500" s="132"/>
      <c r="B500" s="1" t="s">
        <v>48</v>
      </c>
      <c r="C500" s="1"/>
      <c r="D500" s="1"/>
      <c r="E500" s="1"/>
      <c r="F500" s="1"/>
      <c r="G500" s="1"/>
      <c r="H500" s="304">
        <f>SUM(H496:H499)</f>
        <v>6300787.7592203701</v>
      </c>
      <c r="I500" s="80"/>
    </row>
    <row r="501" spans="1:9" ht="15" thickBot="1">
      <c r="A501" s="133"/>
      <c r="B501" s="2"/>
      <c r="C501" s="2"/>
      <c r="D501" s="2"/>
      <c r="E501" s="2"/>
      <c r="F501" s="2"/>
      <c r="G501" s="2"/>
      <c r="H501" s="2"/>
    </row>
    <row r="505" spans="1:9">
      <c r="B505" s="277"/>
    </row>
    <row r="506" spans="1:9">
      <c r="B506" s="303"/>
      <c r="C506" s="332"/>
      <c r="E506" s="333"/>
      <c r="F506" s="117"/>
      <c r="G506" s="105"/>
    </row>
    <row r="507" spans="1:9">
      <c r="B507" s="277"/>
    </row>
    <row r="508" spans="1:9" ht="15.6">
      <c r="B508" s="334"/>
      <c r="C508" s="332"/>
      <c r="E508" s="333"/>
      <c r="F508" s="117"/>
      <c r="G508" s="105"/>
    </row>
    <row r="509" spans="1:9" ht="15.6">
      <c r="B509" s="281"/>
      <c r="C509" s="332"/>
      <c r="E509" s="333"/>
      <c r="F509" s="117"/>
      <c r="G509" s="105"/>
    </row>
    <row r="510" spans="1:9" ht="15.6">
      <c r="B510" s="281"/>
      <c r="C510" s="107"/>
      <c r="E510" s="117"/>
      <c r="F510" s="117"/>
      <c r="G510" s="105"/>
    </row>
    <row r="511" spans="1:9" ht="15.6">
      <c r="B511" s="281"/>
      <c r="C511" s="107"/>
      <c r="E511" s="117"/>
      <c r="F511" s="117"/>
      <c r="G511" s="105"/>
    </row>
    <row r="512" spans="1:9" ht="15.6">
      <c r="B512" s="281"/>
      <c r="C512" s="107"/>
      <c r="E512" s="117"/>
      <c r="F512" s="117"/>
      <c r="G512" s="105"/>
    </row>
    <row r="513" spans="2:7" ht="15.6">
      <c r="B513" s="281"/>
      <c r="C513" s="107"/>
      <c r="E513" s="117"/>
      <c r="F513" s="117"/>
      <c r="G513" s="105"/>
    </row>
  </sheetData>
  <mergeCells count="4">
    <mergeCell ref="B2:E2"/>
    <mergeCell ref="B3:E3"/>
    <mergeCell ref="B4:E4"/>
    <mergeCell ref="C12:D12"/>
  </mergeCells>
  <phoneticPr fontId="47" type="noConversion"/>
  <pageMargins left="0.7" right="0.7" top="0.21937499999999999" bottom="0.75" header="0.3" footer="0.3"/>
  <pageSetup scale="69" fitToHeight="0" orientation="portrait" r:id="rId1"/>
  <headerFooter>
    <oddHeader>Page &amp;P&amp;R343 W 47th St. Construction Cost Break Down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7A8C91B20233408B9D94FFA153E288" ma:contentTypeVersion="14" ma:contentTypeDescription="Create a new document." ma:contentTypeScope="" ma:versionID="fb15aa8ccfaa9ede0625cc8def1f157b">
  <xsd:schema xmlns:xsd="http://www.w3.org/2001/XMLSchema" xmlns:xs="http://www.w3.org/2001/XMLSchema" xmlns:p="http://schemas.microsoft.com/office/2006/metadata/properties" xmlns:ns2="5e3802d1-bfd2-4772-8a44-de5e0574f390" xmlns:ns3="92204b10-eb95-46fb-b1cb-b82d59048446" targetNamespace="http://schemas.microsoft.com/office/2006/metadata/properties" ma:root="true" ma:fieldsID="c4433832c36c9f89bb24baed8247d31c" ns2:_="" ns3:_="">
    <xsd:import namespace="5e3802d1-bfd2-4772-8a44-de5e0574f390"/>
    <xsd:import namespace="92204b10-eb95-46fb-b1cb-b82d5904844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802d1-bfd2-4772-8a44-de5e0574f39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8ca6eaa0-ae80-4308-9b07-62c804727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04b10-eb95-46fb-b1cb-b82d5904844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5681c9c-114b-4dd1-9298-dbb964d28df9}" ma:internalName="TaxCatchAll" ma:showField="CatchAllData" ma:web="92204b10-eb95-46fb-b1cb-b82d59048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204b10-eb95-46fb-b1cb-b82d59048446" xsi:nil="true"/>
    <lcf76f155ced4ddcb4097134ff3c332f xmlns="5e3802d1-bfd2-4772-8a44-de5e0574f390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F518C6DE-2A9D-4E5C-8D83-044603F94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802d1-bfd2-4772-8a44-de5e0574f390"/>
    <ds:schemaRef ds:uri="92204b10-eb95-46fb-b1cb-b82d590484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444465-0C42-4644-81F9-A7B6E0DF21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7F3C5-0E5E-4B8B-AB1B-BEF1F6910659}">
  <ds:schemaRefs>
    <ds:schemaRef ds:uri="http://schemas.microsoft.com/office/2006/metadata/properties"/>
    <ds:schemaRef ds:uri="http://schemas.microsoft.com/office/infopath/2007/PartnerControls"/>
    <ds:schemaRef ds:uri="92204b10-eb95-46fb-b1cb-b82d59048446"/>
    <ds:schemaRef ds:uri="5e3802d1-bfd2-4772-8a44-de5e0574f390"/>
  </ds:schemaRefs>
</ds:datastoreItem>
</file>

<file path=customXml/itemProps4.xml><?xml version="1.0" encoding="utf-8"?>
<ds:datastoreItem xmlns:ds="http://schemas.openxmlformats.org/officeDocument/2006/customXml" ds:itemID="{B76DC253-989E-4131-BB05-A00C13F12D29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Title</vt:lpstr>
      <vt:lpstr>SOV </vt:lpstr>
      <vt:lpstr>Scope of Work </vt:lpstr>
      <vt:lpstr>'Scope of Work '!Print_Area</vt:lpstr>
      <vt:lpstr>'SOV '!Print_Area</vt:lpstr>
      <vt:lpstr>Title!Print_Area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Greg Corbin</cp:lastModifiedBy>
  <cp:revision/>
  <dcterms:created xsi:type="dcterms:W3CDTF">2012-05-14T21:49:16Z</dcterms:created>
  <dcterms:modified xsi:type="dcterms:W3CDTF">2023-08-29T03:33:30Z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false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{B76DC253-989E-4131-BB05-A00C13F12D29}</vt:lpwstr>
  </property>
  <property fmtid="{D5CDD505-2E9C-101B-9397-08002B2CF9AE}" pid="6" name="ContentTypeId">
    <vt:lpwstr>0x010100AD7A8C91B20233408B9D94FFA153E288</vt:lpwstr>
  </property>
  <property fmtid="{D5CDD505-2E9C-101B-9397-08002B2CF9AE}" pid="7" name="MediaServiceImageTags">
    <vt:lpwstr/>
  </property>
</Properties>
</file>